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35" yWindow="-480" windowWidth="4725" windowHeight="8610" tabRatio="700" firstSheet="3" activeTab="3"/>
  </bookViews>
  <sheets>
    <sheet name="Área 01" sheetId="1" r:id="rId1"/>
    <sheet name="Área 02" sheetId="3" r:id="rId2"/>
    <sheet name="Área 03" sheetId="2" r:id="rId3"/>
    <sheet name="Orçamento" sheetId="6" r:id="rId4"/>
    <sheet name="Composição" sheetId="5" r:id="rId5"/>
    <sheet name="CRONOGRAMA" sheetId="8" r:id="rId6"/>
  </sheets>
  <definedNames>
    <definedName name="_xlnm.Print_Area" localSheetId="5">CRONOGRAMA!$A$1:$T$63</definedName>
    <definedName name="_xlnm.Print_Area" localSheetId="3">Orçamento!$A$1:$L$181</definedName>
    <definedName name="_xlnm.Print_Titles" localSheetId="3">Orçamento!$1:$12</definedName>
  </definedNames>
  <calcPr calcId="145621"/>
</workbook>
</file>

<file path=xl/calcChain.xml><?xml version="1.0" encoding="utf-8"?>
<calcChain xmlns="http://schemas.openxmlformats.org/spreadsheetml/2006/main">
  <c r="H146" i="6" l="1"/>
  <c r="I76" i="6"/>
  <c r="I77" i="6"/>
  <c r="I78" i="6"/>
  <c r="I79" i="6"/>
  <c r="I80" i="6"/>
  <c r="I81" i="6"/>
  <c r="I82" i="6"/>
  <c r="H76" i="6"/>
  <c r="H77" i="6"/>
  <c r="H78" i="6"/>
  <c r="H79" i="6"/>
  <c r="H80" i="6"/>
  <c r="H81" i="6"/>
  <c r="H82" i="6"/>
  <c r="K82" i="6"/>
  <c r="K81" i="6"/>
  <c r="K80" i="6"/>
  <c r="K79" i="6"/>
  <c r="K78" i="6"/>
  <c r="K77" i="6"/>
  <c r="K76" i="6"/>
  <c r="I15" i="6"/>
  <c r="H15" i="6"/>
  <c r="Q40" i="8" l="1"/>
  <c r="O40" i="8"/>
  <c r="M40" i="8"/>
  <c r="S55" i="8"/>
  <c r="Q55" i="8"/>
  <c r="O55" i="8"/>
  <c r="M55" i="8"/>
  <c r="K55" i="8"/>
  <c r="I55" i="8"/>
  <c r="G55" i="8"/>
  <c r="E55" i="8"/>
  <c r="I31" i="8"/>
  <c r="K31" i="8"/>
  <c r="M31" i="8"/>
  <c r="K68" i="6" l="1"/>
  <c r="K108" i="6" l="1"/>
  <c r="I108" i="6"/>
  <c r="H108" i="6"/>
  <c r="K107" i="6"/>
  <c r="L106" i="6" s="1"/>
  <c r="I106" i="6" s="1"/>
  <c r="I107" i="6"/>
  <c r="H107" i="6"/>
  <c r="K150" i="6"/>
  <c r="I150" i="6"/>
  <c r="H150" i="6"/>
  <c r="K154" i="6"/>
  <c r="I154" i="6"/>
  <c r="H154" i="6"/>
  <c r="K153" i="6"/>
  <c r="I153" i="6"/>
  <c r="H153" i="6"/>
  <c r="K152" i="6"/>
  <c r="I152" i="6"/>
  <c r="H152" i="6"/>
  <c r="K151" i="6"/>
  <c r="I151" i="6"/>
  <c r="H151" i="6"/>
  <c r="H68" i="6"/>
  <c r="H99" i="6"/>
  <c r="I99" i="6"/>
  <c r="H98" i="6"/>
  <c r="I98" i="6"/>
  <c r="H97" i="6"/>
  <c r="K99" i="6"/>
  <c r="K98" i="6"/>
  <c r="K97" i="6"/>
  <c r="H96" i="6"/>
  <c r="H95" i="6"/>
  <c r="H94" i="6"/>
  <c r="H93" i="6"/>
  <c r="H92" i="6"/>
  <c r="H91" i="6"/>
  <c r="I91" i="6"/>
  <c r="I92" i="6"/>
  <c r="I93" i="6"/>
  <c r="I94" i="6"/>
  <c r="I95" i="6"/>
  <c r="I96" i="6"/>
  <c r="I97" i="6"/>
  <c r="H90" i="6"/>
  <c r="I90" i="6"/>
  <c r="H89" i="6"/>
  <c r="I89" i="6"/>
  <c r="H88" i="6"/>
  <c r="I88" i="6"/>
  <c r="H87" i="6"/>
  <c r="K96" i="6"/>
  <c r="K95" i="6"/>
  <c r="K93" i="6"/>
  <c r="K92" i="6"/>
  <c r="K91" i="6"/>
  <c r="K90" i="6"/>
  <c r="K89" i="6"/>
  <c r="K88" i="6"/>
  <c r="I68" i="6"/>
  <c r="H73" i="6"/>
  <c r="I73" i="6"/>
  <c r="K73" i="6"/>
  <c r="H86" i="6"/>
  <c r="H85" i="6"/>
  <c r="H84" i="6"/>
  <c r="H83" i="6"/>
  <c r="K83" i="6"/>
  <c r="K84" i="6"/>
  <c r="K85" i="6"/>
  <c r="K86" i="6"/>
  <c r="K87" i="6"/>
  <c r="K94" i="6"/>
  <c r="I83" i="6"/>
  <c r="I84" i="6"/>
  <c r="I85" i="6"/>
  <c r="I86" i="6"/>
  <c r="I87" i="6"/>
  <c r="K75" i="6"/>
  <c r="I75" i="6"/>
  <c r="H75" i="6"/>
  <c r="K104" i="6"/>
  <c r="I104" i="6"/>
  <c r="H104" i="6"/>
  <c r="K103" i="6"/>
  <c r="I103" i="6"/>
  <c r="H103" i="6"/>
  <c r="I64" i="6"/>
  <c r="I63" i="6"/>
  <c r="H106" i="6" l="1"/>
  <c r="D39" i="8" s="1"/>
  <c r="T40" i="8" s="1"/>
  <c r="H102" i="6"/>
  <c r="D36" i="8" s="1"/>
  <c r="H149" i="6"/>
  <c r="D48" i="8" s="1"/>
  <c r="T49" i="8" s="1"/>
  <c r="L102" i="6"/>
  <c r="I102" i="6" s="1"/>
  <c r="L149" i="6"/>
  <c r="I149" i="6" s="1"/>
  <c r="R37" i="8"/>
  <c r="AD55" i="8"/>
  <c r="AD52" i="8"/>
  <c r="AD49" i="8"/>
  <c r="AD46" i="8"/>
  <c r="AD43" i="8"/>
  <c r="AD37" i="8"/>
  <c r="AD34" i="8"/>
  <c r="AD31" i="8"/>
  <c r="AD28" i="8"/>
  <c r="AD25" i="8"/>
  <c r="AD22" i="8"/>
  <c r="AD19" i="8"/>
  <c r="AD16" i="8"/>
  <c r="AD15" i="8" s="1"/>
  <c r="AD13" i="8"/>
  <c r="AD12" i="8" s="1"/>
  <c r="AD10" i="8"/>
  <c r="AD9" i="8" s="1"/>
  <c r="P40" i="8" l="1"/>
  <c r="N40" i="8"/>
  <c r="R40" i="8"/>
  <c r="Z37" i="8"/>
  <c r="T37" i="8"/>
  <c r="X37" i="8"/>
  <c r="L37" i="8"/>
  <c r="AB37" i="8"/>
  <c r="N37" i="8"/>
  <c r="V37" i="8"/>
  <c r="P37" i="8"/>
  <c r="G163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7" i="6"/>
  <c r="H145" i="6"/>
  <c r="I145" i="6"/>
  <c r="H144" i="6"/>
  <c r="I144" i="6"/>
  <c r="H143" i="6"/>
  <c r="I143" i="6"/>
  <c r="H142" i="6"/>
  <c r="I142" i="6"/>
  <c r="I141" i="6"/>
  <c r="H141" i="6"/>
  <c r="K69" i="6"/>
  <c r="K70" i="6"/>
  <c r="K71" i="6"/>
  <c r="K72" i="6"/>
  <c r="K74" i="6"/>
  <c r="K100" i="6"/>
  <c r="I72" i="6"/>
  <c r="I74" i="6"/>
  <c r="H72" i="6"/>
  <c r="H74" i="6"/>
  <c r="H100" i="6"/>
  <c r="H55" i="6"/>
  <c r="I55" i="6"/>
  <c r="K55" i="6"/>
  <c r="K52" i="6"/>
  <c r="K53" i="6"/>
  <c r="K54" i="6"/>
  <c r="I44" i="6" l="1"/>
  <c r="K44" i="6"/>
  <c r="H44" i="6"/>
  <c r="D351" i="5" l="1"/>
  <c r="F351" i="5" s="1"/>
  <c r="D349" i="5"/>
  <c r="F349" i="5" s="1"/>
  <c r="D348" i="5"/>
  <c r="F348" i="5" s="1"/>
  <c r="D347" i="5"/>
  <c r="D350" i="5"/>
  <c r="F350" i="5" s="1"/>
  <c r="F347" i="5"/>
  <c r="D340" i="5"/>
  <c r="F340" i="5" s="1"/>
  <c r="D339" i="5"/>
  <c r="D338" i="5"/>
  <c r="F338" i="5" s="1"/>
  <c r="D337" i="5"/>
  <c r="F337" i="5" s="1"/>
  <c r="D336" i="5"/>
  <c r="F336" i="5" s="1"/>
  <c r="D329" i="5"/>
  <c r="F329" i="5" s="1"/>
  <c r="D328" i="5"/>
  <c r="F328" i="5" s="1"/>
  <c r="D327" i="5"/>
  <c r="F327" i="5" s="1"/>
  <c r="D326" i="5"/>
  <c r="F326" i="5" s="1"/>
  <c r="D325" i="5"/>
  <c r="F325" i="5"/>
  <c r="D318" i="5"/>
  <c r="F318" i="5" s="1"/>
  <c r="D317" i="5"/>
  <c r="F317" i="5" s="1"/>
  <c r="D316" i="5"/>
  <c r="F316" i="5" s="1"/>
  <c r="D315" i="5"/>
  <c r="F315" i="5" s="1"/>
  <c r="D314" i="5"/>
  <c r="F314" i="5" s="1"/>
  <c r="D307" i="5"/>
  <c r="F307" i="5" s="1"/>
  <c r="D306" i="5"/>
  <c r="F306" i="5" s="1"/>
  <c r="D305" i="5"/>
  <c r="F305" i="5" s="1"/>
  <c r="D304" i="5"/>
  <c r="F304" i="5" s="1"/>
  <c r="D303" i="5"/>
  <c r="F303" i="5" s="1"/>
  <c r="F339" i="5"/>
  <c r="F352" i="5" l="1"/>
  <c r="F341" i="5"/>
  <c r="F330" i="5"/>
  <c r="F319" i="5"/>
  <c r="F308" i="5"/>
  <c r="G164" i="6" l="1"/>
  <c r="H164" i="6" s="1"/>
  <c r="G162" i="6"/>
  <c r="H162" i="6" s="1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7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7" i="6"/>
  <c r="I69" i="6"/>
  <c r="I70" i="6"/>
  <c r="I71" i="6"/>
  <c r="I100" i="6"/>
  <c r="H69" i="6"/>
  <c r="H70" i="6"/>
  <c r="H71" i="6"/>
  <c r="H67" i="6"/>
  <c r="F59" i="6"/>
  <c r="K59" i="6" s="1"/>
  <c r="F58" i="6"/>
  <c r="H58" i="6" s="1"/>
  <c r="K60" i="6"/>
  <c r="I60" i="6"/>
  <c r="H60" i="6"/>
  <c r="I53" i="6"/>
  <c r="I54" i="6"/>
  <c r="H53" i="6"/>
  <c r="H54" i="6"/>
  <c r="G42" i="6"/>
  <c r="H42" i="6" s="1"/>
  <c r="G41" i="6"/>
  <c r="H41" i="6" s="1"/>
  <c r="H48" i="6"/>
  <c r="G40" i="6"/>
  <c r="H40" i="6" s="1"/>
  <c r="I26" i="6"/>
  <c r="K159" i="6"/>
  <c r="I159" i="6"/>
  <c r="H159" i="6"/>
  <c r="K158" i="6"/>
  <c r="I158" i="6"/>
  <c r="H158" i="6"/>
  <c r="K157" i="6"/>
  <c r="I157" i="6"/>
  <c r="H157" i="6"/>
  <c r="K122" i="6"/>
  <c r="I122" i="6"/>
  <c r="H122" i="6"/>
  <c r="K119" i="6"/>
  <c r="I119" i="6"/>
  <c r="H119" i="6"/>
  <c r="K118" i="6"/>
  <c r="I118" i="6"/>
  <c r="H118" i="6"/>
  <c r="K117" i="6"/>
  <c r="I117" i="6"/>
  <c r="H117" i="6"/>
  <c r="K116" i="6"/>
  <c r="I116" i="6"/>
  <c r="H116" i="6"/>
  <c r="K115" i="6"/>
  <c r="I115" i="6"/>
  <c r="H115" i="6"/>
  <c r="K114" i="6"/>
  <c r="I114" i="6"/>
  <c r="H114" i="6"/>
  <c r="K113" i="6"/>
  <c r="I113" i="6"/>
  <c r="H113" i="6"/>
  <c r="K112" i="6"/>
  <c r="I112" i="6"/>
  <c r="H112" i="6"/>
  <c r="K111" i="6"/>
  <c r="I111" i="6"/>
  <c r="H111" i="6"/>
  <c r="K67" i="6"/>
  <c r="I67" i="6"/>
  <c r="I59" i="6"/>
  <c r="I58" i="6"/>
  <c r="I52" i="6"/>
  <c r="H52" i="6"/>
  <c r="K51" i="6"/>
  <c r="I51" i="6"/>
  <c r="H51" i="6"/>
  <c r="K48" i="6"/>
  <c r="I48" i="6"/>
  <c r="K47" i="6"/>
  <c r="I47" i="6"/>
  <c r="H47" i="6"/>
  <c r="K46" i="6"/>
  <c r="I46" i="6"/>
  <c r="H46" i="6"/>
  <c r="K45" i="6"/>
  <c r="I45" i="6"/>
  <c r="H45" i="6"/>
  <c r="K43" i="6"/>
  <c r="I43" i="6"/>
  <c r="H43" i="6"/>
  <c r="K42" i="6"/>
  <c r="I42" i="6"/>
  <c r="K41" i="6"/>
  <c r="I41" i="6"/>
  <c r="K40" i="6"/>
  <c r="I40" i="6"/>
  <c r="K164" i="6"/>
  <c r="I164" i="6"/>
  <c r="K163" i="6"/>
  <c r="I163" i="6"/>
  <c r="H163" i="6"/>
  <c r="K162" i="6"/>
  <c r="I162" i="6"/>
  <c r="K37" i="6"/>
  <c r="I37" i="6"/>
  <c r="H37" i="6"/>
  <c r="K36" i="6"/>
  <c r="I36" i="6"/>
  <c r="H36" i="6"/>
  <c r="K33" i="6"/>
  <c r="I33" i="6"/>
  <c r="H33" i="6"/>
  <c r="K32" i="6"/>
  <c r="I32" i="6"/>
  <c r="H32" i="6"/>
  <c r="K31" i="6"/>
  <c r="I31" i="6"/>
  <c r="H31" i="6"/>
  <c r="K30" i="6"/>
  <c r="I30" i="6"/>
  <c r="H30" i="6"/>
  <c r="I27" i="6"/>
  <c r="I25" i="6"/>
  <c r="I24" i="6"/>
  <c r="I23" i="6"/>
  <c r="I22" i="6"/>
  <c r="I21" i="6"/>
  <c r="I20" i="6"/>
  <c r="I19" i="6"/>
  <c r="K16" i="6"/>
  <c r="I16" i="6"/>
  <c r="H16" i="6"/>
  <c r="K14" i="6"/>
  <c r="I14" i="6"/>
  <c r="H14" i="6"/>
  <c r="H66" i="6" l="1"/>
  <c r="D33" i="8" s="1"/>
  <c r="T34" i="8" s="1"/>
  <c r="K58" i="6"/>
  <c r="L57" i="6" s="1"/>
  <c r="I57" i="6" s="1"/>
  <c r="H50" i="6"/>
  <c r="D24" i="8" s="1"/>
  <c r="H161" i="6"/>
  <c r="D54" i="8" s="1"/>
  <c r="H59" i="6"/>
  <c r="H57" i="6" s="1"/>
  <c r="D27" i="8" s="1"/>
  <c r="L156" i="6"/>
  <c r="I156" i="6" s="1"/>
  <c r="L110" i="6"/>
  <c r="I110" i="6" s="1"/>
  <c r="L121" i="6"/>
  <c r="I121" i="6" s="1"/>
  <c r="H121" i="6"/>
  <c r="D45" i="8" s="1"/>
  <c r="T46" i="8" s="1"/>
  <c r="L35" i="6"/>
  <c r="I35" i="6" s="1"/>
  <c r="H35" i="6"/>
  <c r="D18" i="8" s="1"/>
  <c r="F19" i="8" s="1"/>
  <c r="H39" i="6"/>
  <c r="D21" i="8" s="1"/>
  <c r="F22" i="8" s="1"/>
  <c r="H156" i="6"/>
  <c r="D51" i="8" s="1"/>
  <c r="L50" i="6"/>
  <c r="I50" i="6" s="1"/>
  <c r="L161" i="6"/>
  <c r="I161" i="6" s="1"/>
  <c r="L66" i="6"/>
  <c r="I66" i="6" s="1"/>
  <c r="L39" i="6"/>
  <c r="I39" i="6" s="1"/>
  <c r="H29" i="6"/>
  <c r="D15" i="8" s="1"/>
  <c r="H110" i="6"/>
  <c r="D42" i="8" s="1"/>
  <c r="T43" i="8" s="1"/>
  <c r="L13" i="6"/>
  <c r="I13" i="6" s="1"/>
  <c r="L29" i="6"/>
  <c r="I29" i="6" s="1"/>
  <c r="H13" i="6"/>
  <c r="J55" i="8" l="1"/>
  <c r="L55" i="8"/>
  <c r="F55" i="8"/>
  <c r="T55" i="8"/>
  <c r="H55" i="8"/>
  <c r="P55" i="8"/>
  <c r="N55" i="8"/>
  <c r="X55" i="8"/>
  <c r="AB55" i="8"/>
  <c r="V55" i="8"/>
  <c r="Z55" i="8"/>
  <c r="R55" i="8"/>
  <c r="L28" i="8"/>
  <c r="J28" i="8"/>
  <c r="D9" i="8"/>
  <c r="T10" i="8" s="1"/>
  <c r="P52" i="8"/>
  <c r="F52" i="8"/>
  <c r="R52" i="8"/>
  <c r="L52" i="8"/>
  <c r="T52" i="8"/>
  <c r="AB52" i="8"/>
  <c r="X52" i="8"/>
  <c r="V52" i="8"/>
  <c r="H52" i="8"/>
  <c r="J52" i="8"/>
  <c r="Z52" i="8"/>
  <c r="N52" i="8"/>
  <c r="P43" i="8"/>
  <c r="AB43" i="8"/>
  <c r="R43" i="8"/>
  <c r="X43" i="8"/>
  <c r="N43" i="8"/>
  <c r="Z43" i="8"/>
  <c r="V43" i="8"/>
  <c r="N49" i="8"/>
  <c r="AB49" i="8"/>
  <c r="V49" i="8"/>
  <c r="R49" i="8"/>
  <c r="Z49" i="8"/>
  <c r="X49" i="8"/>
  <c r="P49" i="8"/>
  <c r="X46" i="8"/>
  <c r="R46" i="8"/>
  <c r="Z46" i="8"/>
  <c r="V46" i="8"/>
  <c r="N46" i="8"/>
  <c r="AB46" i="8"/>
  <c r="P46" i="8"/>
  <c r="R19" i="8"/>
  <c r="Z19" i="8"/>
  <c r="J19" i="8"/>
  <c r="L19" i="8"/>
  <c r="AB19" i="8"/>
  <c r="H19" i="8"/>
  <c r="N19" i="8"/>
  <c r="V19" i="8"/>
  <c r="P19" i="8"/>
  <c r="X19" i="8"/>
  <c r="F34" i="8"/>
  <c r="X34" i="8"/>
  <c r="R34" i="8"/>
  <c r="Z34" i="8"/>
  <c r="H34" i="8"/>
  <c r="J34" i="8"/>
  <c r="AB34" i="8"/>
  <c r="L34" i="8"/>
  <c r="N34" i="8"/>
  <c r="V34" i="8"/>
  <c r="P34" i="8"/>
  <c r="J25" i="8"/>
  <c r="Z25" i="8"/>
  <c r="L25" i="8"/>
  <c r="AB25" i="8"/>
  <c r="N25" i="8"/>
  <c r="V25" i="8"/>
  <c r="H25" i="8"/>
  <c r="P25" i="8"/>
  <c r="X25" i="8"/>
  <c r="R25" i="8"/>
  <c r="Z28" i="8"/>
  <c r="AB28" i="8"/>
  <c r="N28" i="8"/>
  <c r="V28" i="8"/>
  <c r="P28" i="8"/>
  <c r="X28" i="8"/>
  <c r="R28" i="8"/>
  <c r="N16" i="8"/>
  <c r="V16" i="8"/>
  <c r="P16" i="8"/>
  <c r="X16" i="8"/>
  <c r="F16" i="8"/>
  <c r="R16" i="8"/>
  <c r="Z16" i="8"/>
  <c r="H16" i="8"/>
  <c r="L16" i="8"/>
  <c r="AB16" i="8"/>
  <c r="J16" i="8"/>
  <c r="L22" i="8"/>
  <c r="Z22" i="8"/>
  <c r="AB22" i="8"/>
  <c r="H22" i="8"/>
  <c r="N22" i="8"/>
  <c r="J22" i="8"/>
  <c r="P22" i="8"/>
  <c r="X22" i="8"/>
  <c r="R22" i="8"/>
  <c r="F38" i="5"/>
  <c r="F37" i="5"/>
  <c r="F36" i="5"/>
  <c r="F35" i="5"/>
  <c r="F34" i="5"/>
  <c r="F33" i="5"/>
  <c r="F16" i="5"/>
  <c r="F15" i="5"/>
  <c r="D13" i="5"/>
  <c r="F13" i="5" s="1"/>
  <c r="D14" i="5"/>
  <c r="F14" i="5" s="1"/>
  <c r="F12" i="5"/>
  <c r="F11" i="5"/>
  <c r="F26" i="5"/>
  <c r="D25" i="5"/>
  <c r="F25" i="5" s="1"/>
  <c r="D24" i="5"/>
  <c r="F24" i="5" s="1"/>
  <c r="D23" i="5"/>
  <c r="F23" i="5" s="1"/>
  <c r="P10" i="8" l="1"/>
  <c r="R10" i="8"/>
  <c r="F10" i="8"/>
  <c r="N10" i="8"/>
  <c r="J10" i="8"/>
  <c r="AB10" i="8"/>
  <c r="X10" i="8"/>
  <c r="L10" i="8"/>
  <c r="H10" i="8"/>
  <c r="Z10" i="8"/>
  <c r="F39" i="5"/>
  <c r="F27" i="5"/>
  <c r="F17" i="5"/>
  <c r="D296" i="5" l="1"/>
  <c r="F296" i="5" s="1"/>
  <c r="F295" i="5"/>
  <c r="F294" i="5"/>
  <c r="F293" i="5"/>
  <c r="F292" i="5"/>
  <c r="F285" i="5"/>
  <c r="F284" i="5"/>
  <c r="F283" i="5"/>
  <c r="F282" i="5"/>
  <c r="F281" i="5"/>
  <c r="F280" i="5"/>
  <c r="F279" i="5"/>
  <c r="F278" i="5"/>
  <c r="F277" i="5"/>
  <c r="F270" i="5"/>
  <c r="F269" i="5"/>
  <c r="F268" i="5"/>
  <c r="F267" i="5"/>
  <c r="F266" i="5"/>
  <c r="F265" i="5"/>
  <c r="F264" i="5"/>
  <c r="F263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D227" i="5"/>
  <c r="F227" i="5" s="1"/>
  <c r="F237" i="5"/>
  <c r="F236" i="5"/>
  <c r="F235" i="5"/>
  <c r="F234" i="5"/>
  <c r="F233" i="5"/>
  <c r="F232" i="5"/>
  <c r="F231" i="5"/>
  <c r="F230" i="5"/>
  <c r="F229" i="5"/>
  <c r="F228" i="5"/>
  <c r="F226" i="5"/>
  <c r="F225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199" i="5"/>
  <c r="F198" i="5"/>
  <c r="F197" i="5"/>
  <c r="F196" i="5"/>
  <c r="F195" i="5"/>
  <c r="F194" i="5"/>
  <c r="F193" i="5"/>
  <c r="F192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D137" i="5"/>
  <c r="F137" i="5" s="1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147" i="5"/>
  <c r="F146" i="5"/>
  <c r="F145" i="5"/>
  <c r="F144" i="5"/>
  <c r="F143" i="5"/>
  <c r="F142" i="5"/>
  <c r="F141" i="5"/>
  <c r="F140" i="5"/>
  <c r="F139" i="5"/>
  <c r="F138" i="5"/>
  <c r="F136" i="5"/>
  <c r="F135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297" i="5" l="1"/>
  <c r="F286" i="5"/>
  <c r="F271" i="5"/>
  <c r="F257" i="5"/>
  <c r="F238" i="5"/>
  <c r="F219" i="5"/>
  <c r="F186" i="5"/>
  <c r="F200" i="5"/>
  <c r="F167" i="5"/>
  <c r="F111" i="5"/>
  <c r="F148" i="5"/>
  <c r="F129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2" i="5"/>
  <c r="F71" i="5"/>
  <c r="F70" i="5"/>
  <c r="F69" i="5"/>
  <c r="F68" i="5"/>
  <c r="F67" i="5"/>
  <c r="F66" i="5"/>
  <c r="F65" i="5"/>
  <c r="D48" i="5"/>
  <c r="F48" i="5" s="1"/>
  <c r="F46" i="5"/>
  <c r="F47" i="5"/>
  <c r="F49" i="5"/>
  <c r="F50" i="5"/>
  <c r="F51" i="5"/>
  <c r="F52" i="5"/>
  <c r="F53" i="5"/>
  <c r="F54" i="5"/>
  <c r="F55" i="5"/>
  <c r="F56" i="5"/>
  <c r="F45" i="5"/>
  <c r="D58" i="5"/>
  <c r="F58" i="5" s="1"/>
  <c r="D57" i="5"/>
  <c r="F57" i="5" s="1"/>
  <c r="F92" i="5" l="1"/>
  <c r="F73" i="5"/>
  <c r="F59" i="5"/>
  <c r="H167" i="2" l="1"/>
  <c r="H137" i="2"/>
  <c r="H109" i="2"/>
  <c r="H30" i="2"/>
  <c r="F141" i="3"/>
  <c r="H141" i="3" s="1"/>
  <c r="H36" i="1"/>
  <c r="H6" i="3"/>
  <c r="H5" i="3"/>
  <c r="H8" i="3" s="1"/>
  <c r="H201" i="3" l="1"/>
  <c r="H126" i="3"/>
  <c r="H132" i="3"/>
  <c r="H87" i="2"/>
  <c r="H199" i="3" l="1"/>
  <c r="H195" i="3"/>
  <c r="D87" i="3"/>
  <c r="D86" i="3"/>
  <c r="D85" i="3"/>
  <c r="D84" i="3"/>
  <c r="D161" i="3"/>
  <c r="H161" i="3" s="1"/>
  <c r="D160" i="3"/>
  <c r="H160" i="3" s="1"/>
  <c r="D159" i="3"/>
  <c r="H159" i="3" s="1"/>
  <c r="H194" i="3"/>
  <c r="H193" i="3"/>
  <c r="H192" i="3"/>
  <c r="D191" i="3"/>
  <c r="H191" i="3" s="1"/>
  <c r="H190" i="3"/>
  <c r="H189" i="3"/>
  <c r="H188" i="3"/>
  <c r="H187" i="3"/>
  <c r="D186" i="3"/>
  <c r="H186" i="3" s="1"/>
  <c r="D185" i="3"/>
  <c r="H185" i="3" s="1"/>
  <c r="D184" i="3"/>
  <c r="H184" i="3" s="1"/>
  <c r="D183" i="3"/>
  <c r="H183" i="3" s="1"/>
  <c r="H182" i="3"/>
  <c r="H181" i="3"/>
  <c r="H180" i="3"/>
  <c r="D179" i="3"/>
  <c r="H179" i="3" s="1"/>
  <c r="H178" i="3"/>
  <c r="H177" i="3"/>
  <c r="H176" i="3"/>
  <c r="H175" i="3"/>
  <c r="H174" i="3"/>
  <c r="H173" i="3"/>
  <c r="H172" i="3"/>
  <c r="H171" i="3"/>
  <c r="H170" i="3"/>
  <c r="H169" i="3"/>
  <c r="H168" i="3"/>
  <c r="H167" i="3"/>
  <c r="D165" i="3"/>
  <c r="H165" i="3" s="1"/>
  <c r="D164" i="3"/>
  <c r="H164" i="3" s="1"/>
  <c r="D163" i="3"/>
  <c r="H163" i="3" s="1"/>
  <c r="D162" i="3"/>
  <c r="H162" i="3" s="1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96" i="3" s="1"/>
  <c r="H202" i="3" l="1"/>
  <c r="H119" i="3"/>
  <c r="H118" i="3"/>
  <c r="H117" i="3"/>
  <c r="D116" i="3"/>
  <c r="H116" i="3" s="1"/>
  <c r="H115" i="3"/>
  <c r="H114" i="3"/>
  <c r="H113" i="3"/>
  <c r="H112" i="3"/>
  <c r="D111" i="3"/>
  <c r="H111" i="3" s="1"/>
  <c r="D110" i="3"/>
  <c r="H110" i="3" s="1"/>
  <c r="D109" i="3"/>
  <c r="H109" i="3" s="1"/>
  <c r="D108" i="3"/>
  <c r="H108" i="3" s="1"/>
  <c r="H107" i="3"/>
  <c r="H106" i="3"/>
  <c r="H105" i="3"/>
  <c r="D104" i="3"/>
  <c r="H104" i="3" s="1"/>
  <c r="H103" i="3"/>
  <c r="H102" i="3"/>
  <c r="H101" i="3"/>
  <c r="H100" i="3"/>
  <c r="H99" i="3"/>
  <c r="H98" i="3"/>
  <c r="H97" i="3"/>
  <c r="H96" i="3"/>
  <c r="H95" i="3"/>
  <c r="H94" i="3"/>
  <c r="H93" i="3"/>
  <c r="H92" i="3"/>
  <c r="D90" i="3"/>
  <c r="H90" i="3" s="1"/>
  <c r="D89" i="3"/>
  <c r="H89" i="3" s="1"/>
  <c r="D88" i="3"/>
  <c r="H88" i="3" s="1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D60" i="3"/>
  <c r="D55" i="3"/>
  <c r="D54" i="3"/>
  <c r="D53" i="3"/>
  <c r="D52" i="3"/>
  <c r="D48" i="3"/>
  <c r="H120" i="3" l="1"/>
  <c r="F36" i="3"/>
  <c r="H36" i="3" s="1"/>
  <c r="H55" i="3"/>
  <c r="H54" i="3"/>
  <c r="H53" i="3"/>
  <c r="H52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6" i="3"/>
  <c r="H57" i="3"/>
  <c r="H58" i="3"/>
  <c r="H59" i="3"/>
  <c r="H60" i="3"/>
  <c r="H61" i="3"/>
  <c r="H62" i="3"/>
  <c r="H63" i="3"/>
  <c r="D31" i="3"/>
  <c r="H31" i="3" s="1"/>
  <c r="D30" i="3"/>
  <c r="H30" i="3" s="1"/>
  <c r="D29" i="3"/>
  <c r="H29" i="3" s="1"/>
  <c r="D28" i="3"/>
  <c r="H28" i="3" s="1"/>
  <c r="D34" i="3" l="1"/>
  <c r="H34" i="3" s="1"/>
  <c r="D33" i="3"/>
  <c r="H33" i="3" s="1"/>
  <c r="D32" i="3"/>
  <c r="H32" i="3" s="1"/>
  <c r="F11" i="3"/>
  <c r="H11" i="3" s="1"/>
  <c r="H138" i="3" l="1"/>
  <c r="F186" i="2"/>
  <c r="F184" i="2"/>
  <c r="F182" i="2"/>
  <c r="F180" i="2"/>
  <c r="F178" i="2"/>
  <c r="H64" i="3" l="1"/>
  <c r="F176" i="2"/>
  <c r="H176" i="2" s="1"/>
  <c r="F170" i="2"/>
  <c r="H170" i="2" s="1"/>
  <c r="F172" i="2"/>
  <c r="H172" i="2" s="1"/>
  <c r="F174" i="2"/>
  <c r="H174" i="2" s="1"/>
  <c r="H186" i="2"/>
  <c r="H184" i="2"/>
  <c r="H182" i="2"/>
  <c r="H180" i="2"/>
  <c r="H178" i="2"/>
  <c r="F129" i="1"/>
  <c r="H129" i="1" s="1"/>
  <c r="F127" i="1"/>
  <c r="H127" i="1" s="1"/>
  <c r="F125" i="1"/>
  <c r="H125" i="1" s="1"/>
  <c r="F124" i="1"/>
  <c r="H124" i="1" s="1"/>
  <c r="F123" i="1"/>
  <c r="H123" i="1" s="1"/>
  <c r="H130" i="1" l="1"/>
  <c r="H187" i="2"/>
  <c r="H149" i="2"/>
  <c r="H34" i="2" l="1"/>
  <c r="H35" i="2"/>
  <c r="H36" i="2"/>
  <c r="H59" i="2"/>
  <c r="H60" i="2"/>
  <c r="H58" i="2"/>
  <c r="H57" i="2"/>
  <c r="H56" i="2"/>
  <c r="H55" i="2"/>
  <c r="H50" i="2"/>
  <c r="H45" i="2"/>
  <c r="H47" i="2"/>
  <c r="H48" i="2"/>
  <c r="H49" i="2"/>
  <c r="H38" i="2"/>
  <c r="H28" i="2"/>
  <c r="H21" i="2"/>
  <c r="H16" i="2"/>
  <c r="H8" i="2"/>
  <c r="H123" i="2"/>
  <c r="H119" i="2"/>
  <c r="H95" i="2"/>
  <c r="H51" i="2"/>
  <c r="H44" i="2"/>
  <c r="H43" i="2"/>
  <c r="H42" i="2"/>
  <c r="H27" i="2"/>
  <c r="H25" i="2"/>
  <c r="H19" i="2"/>
  <c r="H18" i="2"/>
  <c r="H17" i="2"/>
  <c r="H14" i="2"/>
  <c r="H13" i="2"/>
  <c r="H11" i="2"/>
  <c r="H10" i="2"/>
  <c r="H9" i="2"/>
  <c r="H6" i="2"/>
  <c r="H5" i="2"/>
  <c r="H120" i="1"/>
  <c r="H112" i="1"/>
  <c r="H104" i="1"/>
  <c r="H88" i="1"/>
  <c r="H96" i="1"/>
  <c r="H80" i="1"/>
  <c r="H72" i="1"/>
  <c r="H57" i="1"/>
  <c r="H58" i="1" s="1"/>
  <c r="H53" i="1"/>
  <c r="H52" i="1"/>
  <c r="H51" i="1"/>
  <c r="H49" i="1"/>
  <c r="H48" i="1"/>
  <c r="H47" i="1"/>
  <c r="H46" i="1"/>
  <c r="H44" i="1"/>
  <c r="H43" i="1"/>
  <c r="H42" i="1"/>
  <c r="H38" i="1"/>
  <c r="H37" i="1"/>
  <c r="H34" i="1"/>
  <c r="H30" i="1"/>
  <c r="H28" i="1"/>
  <c r="H17" i="1"/>
  <c r="H18" i="1"/>
  <c r="H19" i="1"/>
  <c r="H20" i="1"/>
  <c r="H21" i="1"/>
  <c r="H22" i="1"/>
  <c r="H23" i="1"/>
  <c r="H24" i="1"/>
  <c r="H9" i="1"/>
  <c r="H10" i="1"/>
  <c r="H11" i="1"/>
  <c r="H12" i="1"/>
  <c r="H13" i="1"/>
  <c r="H14" i="1"/>
  <c r="H15" i="1"/>
  <c r="H6" i="1"/>
  <c r="H7" i="1"/>
  <c r="H5" i="1"/>
  <c r="H31" i="2" l="1"/>
  <c r="H39" i="2"/>
  <c r="H61" i="2"/>
  <c r="H52" i="2"/>
  <c r="H22" i="2"/>
  <c r="H39" i="1"/>
  <c r="H25" i="1"/>
  <c r="H31" i="1"/>
  <c r="H54" i="1"/>
  <c r="H23" i="6"/>
  <c r="K23" i="6"/>
  <c r="H24" i="6"/>
  <c r="K24" i="6"/>
  <c r="K20" i="6"/>
  <c r="H20" i="6"/>
  <c r="K26" i="6"/>
  <c r="H26" i="6"/>
  <c r="H21" i="6"/>
  <c r="K21" i="6"/>
  <c r="K27" i="6"/>
  <c r="K22" i="6"/>
  <c r="H22" i="6"/>
  <c r="K25" i="6"/>
  <c r="K19" i="6"/>
  <c r="H19" i="6"/>
  <c r="H27" i="6"/>
  <c r="H25" i="6"/>
  <c r="L18" i="6" l="1"/>
  <c r="I18" i="6" s="1"/>
  <c r="H18" i="6"/>
  <c r="D12" i="8" l="1"/>
  <c r="F13" i="8" l="1"/>
  <c r="F58" i="8" s="1"/>
  <c r="F59" i="8" s="1"/>
  <c r="V13" i="8"/>
  <c r="H13" i="8"/>
  <c r="H58" i="8" s="1"/>
  <c r="H59" i="8" s="1"/>
  <c r="P13" i="8"/>
  <c r="X13" i="8"/>
  <c r="J13" i="8"/>
  <c r="R13" i="8"/>
  <c r="Z13" i="8"/>
  <c r="L13" i="8"/>
  <c r="AB13" i="8"/>
  <c r="N13" i="8"/>
  <c r="H62" i="8" l="1"/>
  <c r="F62" i="8"/>
  <c r="F63" i="8" l="1"/>
  <c r="H63" i="8" l="1"/>
  <c r="K64" i="6" l="1"/>
  <c r="H64" i="6"/>
  <c r="H63" i="6"/>
  <c r="K63" i="6"/>
  <c r="H62" i="6" l="1"/>
  <c r="H167" i="6" s="1"/>
  <c r="L62" i="6"/>
  <c r="I62" i="6" s="1"/>
  <c r="L167" i="6"/>
  <c r="M15" i="6" l="1"/>
  <c r="M79" i="6"/>
  <c r="M76" i="6"/>
  <c r="M80" i="6"/>
  <c r="M77" i="6"/>
  <c r="M81" i="6"/>
  <c r="M78" i="6"/>
  <c r="M82" i="6"/>
  <c r="M125" i="6"/>
  <c r="M68" i="6"/>
  <c r="M103" i="6"/>
  <c r="M108" i="6"/>
  <c r="M113" i="6"/>
  <c r="M117" i="6"/>
  <c r="M122" i="6"/>
  <c r="M126" i="6"/>
  <c r="M130" i="6"/>
  <c r="M134" i="6"/>
  <c r="M138" i="6"/>
  <c r="M142" i="6"/>
  <c r="M147" i="6"/>
  <c r="M152" i="6"/>
  <c r="M156" i="6"/>
  <c r="M161" i="6"/>
  <c r="M14" i="6"/>
  <c r="M104" i="6"/>
  <c r="M110" i="6"/>
  <c r="M114" i="6"/>
  <c r="M118" i="6"/>
  <c r="M123" i="6"/>
  <c r="M127" i="6"/>
  <c r="M131" i="6"/>
  <c r="M135" i="6"/>
  <c r="M139" i="6"/>
  <c r="M143" i="6"/>
  <c r="M149" i="6"/>
  <c r="M153" i="6"/>
  <c r="M157" i="6"/>
  <c r="M162" i="6"/>
  <c r="M16" i="6"/>
  <c r="M100" i="6"/>
  <c r="M106" i="6"/>
  <c r="M111" i="6"/>
  <c r="M115" i="6"/>
  <c r="M119" i="6"/>
  <c r="M124" i="6"/>
  <c r="M128" i="6"/>
  <c r="M132" i="6"/>
  <c r="M136" i="6"/>
  <c r="M140" i="6"/>
  <c r="M144" i="6"/>
  <c r="M150" i="6"/>
  <c r="M154" i="6"/>
  <c r="M158" i="6"/>
  <c r="M163" i="6"/>
  <c r="M60" i="6"/>
  <c r="M102" i="6"/>
  <c r="M107" i="6"/>
  <c r="M112" i="6"/>
  <c r="M116" i="6"/>
  <c r="M121" i="6"/>
  <c r="M129" i="6"/>
  <c r="M133" i="6"/>
  <c r="M137" i="6"/>
  <c r="M141" i="6"/>
  <c r="M145" i="6"/>
  <c r="M151" i="6"/>
  <c r="M155" i="6"/>
  <c r="M159" i="6"/>
  <c r="M164" i="6"/>
  <c r="D30" i="8"/>
  <c r="J31" i="8" s="1"/>
  <c r="J58" i="8" s="1"/>
  <c r="M99" i="6"/>
  <c r="L168" i="6"/>
  <c r="L169" i="6" s="1"/>
  <c r="J59" i="8" l="1"/>
  <c r="J62" i="8" s="1"/>
  <c r="J63" i="8" s="1"/>
  <c r="L31" i="8"/>
  <c r="L58" i="8" s="1"/>
  <c r="D58" i="8"/>
  <c r="M57" i="6"/>
  <c r="M71" i="6"/>
  <c r="M24" i="6"/>
  <c r="M63" i="6"/>
  <c r="M46" i="6"/>
  <c r="M27" i="6"/>
  <c r="M32" i="6"/>
  <c r="M26" i="6"/>
  <c r="M55" i="6"/>
  <c r="H168" i="6"/>
  <c r="H169" i="6" s="1"/>
  <c r="M66" i="6"/>
  <c r="M51" i="6"/>
  <c r="M40" i="6"/>
  <c r="M41" i="6"/>
  <c r="M89" i="6"/>
  <c r="M29" i="6"/>
  <c r="M36" i="6"/>
  <c r="M67" i="6"/>
  <c r="M19" i="6"/>
  <c r="M18" i="6"/>
  <c r="M54" i="6"/>
  <c r="M45" i="6"/>
  <c r="M42" i="6"/>
  <c r="M92" i="6"/>
  <c r="M75" i="6"/>
  <c r="M21" i="6"/>
  <c r="M69" i="6"/>
  <c r="M44" i="6"/>
  <c r="M48" i="6"/>
  <c r="M33" i="6"/>
  <c r="M25" i="6"/>
  <c r="M20" i="6"/>
  <c r="M43" i="6"/>
  <c r="M52" i="6"/>
  <c r="M53" i="6"/>
  <c r="M85" i="6"/>
  <c r="M23" i="6"/>
  <c r="M30" i="6"/>
  <c r="M64" i="6"/>
  <c r="M93" i="6"/>
  <c r="M74" i="6"/>
  <c r="M87" i="6"/>
  <c r="M88" i="6"/>
  <c r="M98" i="6"/>
  <c r="M47" i="6"/>
  <c r="M39" i="6"/>
  <c r="M86" i="6"/>
  <c r="M84" i="6"/>
  <c r="M90" i="6"/>
  <c r="M95" i="6"/>
  <c r="M96" i="6"/>
  <c r="N31" i="8"/>
  <c r="N58" i="8" s="1"/>
  <c r="AB31" i="8"/>
  <c r="AB58" i="8" s="1"/>
  <c r="AB59" i="8" s="1"/>
  <c r="AB62" i="8" s="1"/>
  <c r="P31" i="8"/>
  <c r="P58" i="8" s="1"/>
  <c r="Z31" i="8"/>
  <c r="Z58" i="8" s="1"/>
  <c r="Z59" i="8" s="1"/>
  <c r="Z62" i="8" s="1"/>
  <c r="T58" i="8"/>
  <c r="R31" i="8"/>
  <c r="R58" i="8" s="1"/>
  <c r="X31" i="8"/>
  <c r="X58" i="8" s="1"/>
  <c r="X59" i="8" s="1"/>
  <c r="X62" i="8" s="1"/>
  <c r="V31" i="8"/>
  <c r="V58" i="8" s="1"/>
  <c r="V59" i="8" s="1"/>
  <c r="V62" i="8" s="1"/>
  <c r="M22" i="6"/>
  <c r="M35" i="6"/>
  <c r="M59" i="6"/>
  <c r="M50" i="6"/>
  <c r="M58" i="6"/>
  <c r="M31" i="6"/>
  <c r="M72" i="6"/>
  <c r="M37" i="6"/>
  <c r="M70" i="6"/>
  <c r="M13" i="6"/>
  <c r="M83" i="6"/>
  <c r="M94" i="6"/>
  <c r="M73" i="6"/>
  <c r="M91" i="6"/>
  <c r="M97" i="6"/>
  <c r="T59" i="8" l="1"/>
  <c r="T62" i="8" s="1"/>
  <c r="N59" i="8"/>
  <c r="N62" i="8" s="1"/>
  <c r="L59" i="8"/>
  <c r="L62" i="8" s="1"/>
  <c r="L63" i="8" s="1"/>
  <c r="P59" i="8"/>
  <c r="P62" i="8" s="1"/>
  <c r="R59" i="8"/>
  <c r="R62" i="8" s="1"/>
  <c r="D59" i="8"/>
  <c r="D63" i="8" s="1"/>
  <c r="C39" i="8" s="1"/>
  <c r="N63" i="8" l="1"/>
  <c r="P63" i="8" s="1"/>
  <c r="R63" i="8" s="1"/>
  <c r="T63" i="8" s="1"/>
  <c r="C15" i="8"/>
  <c r="C9" i="8"/>
  <c r="C21" i="8"/>
  <c r="I62" i="8"/>
  <c r="E71" i="8" s="1"/>
  <c r="C51" i="8"/>
  <c r="C54" i="8"/>
  <c r="C48" i="8"/>
  <c r="K62" i="8"/>
  <c r="E72" i="8" s="1"/>
  <c r="C45" i="8"/>
  <c r="E62" i="8"/>
  <c r="E69" i="8" s="1"/>
  <c r="C36" i="8"/>
  <c r="G62" i="8"/>
  <c r="E70" i="8" s="1"/>
  <c r="C33" i="8"/>
  <c r="C18" i="8"/>
  <c r="C12" i="8"/>
  <c r="C27" i="8"/>
  <c r="C42" i="8"/>
  <c r="C24" i="8"/>
  <c r="E63" i="8"/>
  <c r="M69" i="8" s="1"/>
  <c r="G63" i="8"/>
  <c r="M70" i="8" s="1"/>
  <c r="I63" i="8"/>
  <c r="M71" i="8" s="1"/>
  <c r="K63" i="8"/>
  <c r="M72" i="8" s="1"/>
  <c r="C30" i="8"/>
  <c r="W62" i="8"/>
  <c r="S62" i="8"/>
  <c r="E76" i="8" s="1"/>
  <c r="U62" i="8"/>
  <c r="O62" i="8"/>
  <c r="E74" i="8" s="1"/>
  <c r="AA62" i="8"/>
  <c r="M62" i="8"/>
  <c r="E73" i="8" s="1"/>
  <c r="Y62" i="8"/>
  <c r="Q62" i="8"/>
  <c r="E75" i="8" s="1"/>
  <c r="Q63" i="8"/>
  <c r="M75" i="8" s="1"/>
  <c r="M63" i="8" l="1"/>
  <c r="M73" i="8" s="1"/>
  <c r="O63" i="8"/>
  <c r="M74" i="8" s="1"/>
  <c r="C68" i="8"/>
  <c r="S63" i="8"/>
  <c r="M76" i="8" s="1"/>
  <c r="V63" i="8"/>
  <c r="AD62" i="8"/>
  <c r="U63" i="8" l="1"/>
  <c r="X63" i="8"/>
  <c r="W63" i="8" l="1"/>
  <c r="Z63" i="8"/>
  <c r="Y63" i="8" l="1"/>
  <c r="AB63" i="8"/>
  <c r="AA63" i="8" s="1"/>
</calcChain>
</file>

<file path=xl/comments1.xml><?xml version="1.0" encoding="utf-8"?>
<comments xmlns="http://schemas.openxmlformats.org/spreadsheetml/2006/main">
  <authors>
    <author>Daose</author>
  </authors>
  <commentList>
    <comment ref="D303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04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05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06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07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14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15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16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17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18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25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26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27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28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29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36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37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38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39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40" authorId="0">
      <text>
        <r>
          <rPr>
            <b/>
            <sz val="9"/>
            <color indexed="81"/>
            <rFont val="Tahoma"/>
            <family val="2"/>
          </rPr>
          <t>Daose:</t>
        </r>
        <r>
          <rPr>
            <sz val="9"/>
            <color indexed="81"/>
            <rFont val="Tahoma"/>
            <family val="2"/>
          </rPr>
          <t xml:space="preserve">
Dois tanques x (área da base + área das 4 paredes)</t>
        </r>
      </text>
    </comment>
    <comment ref="D347" authorId="0">
      <text>
        <r>
          <rPr>
            <b/>
            <sz val="9"/>
            <color indexed="81"/>
            <rFont val="Tahoma"/>
            <family val="2"/>
          </rPr>
          <t xml:space="preserve">Daose:
</t>
        </r>
        <r>
          <rPr>
            <sz val="9"/>
            <color indexed="81"/>
            <rFont val="Tahoma"/>
            <family val="2"/>
          </rPr>
          <t>(área da base + área das 4 paredes)</t>
        </r>
      </text>
    </comment>
    <comment ref="D348" authorId="0">
      <text>
        <r>
          <rPr>
            <b/>
            <sz val="9"/>
            <color indexed="81"/>
            <rFont val="Tahoma"/>
            <family val="2"/>
          </rPr>
          <t xml:space="preserve">Daose:
</t>
        </r>
        <r>
          <rPr>
            <sz val="9"/>
            <color indexed="81"/>
            <rFont val="Tahoma"/>
            <family val="2"/>
          </rPr>
          <t>(área da base + área das 4 paredes)</t>
        </r>
      </text>
    </comment>
    <comment ref="D349" authorId="0">
      <text>
        <r>
          <rPr>
            <b/>
            <sz val="9"/>
            <color indexed="81"/>
            <rFont val="Tahoma"/>
            <family val="2"/>
          </rPr>
          <t xml:space="preserve">Daose:
</t>
        </r>
        <r>
          <rPr>
            <sz val="9"/>
            <color indexed="81"/>
            <rFont val="Tahoma"/>
            <family val="2"/>
          </rPr>
          <t>(área da base + área das 4 paredes)</t>
        </r>
      </text>
    </comment>
    <comment ref="D350" authorId="0">
      <text>
        <r>
          <rPr>
            <b/>
            <sz val="9"/>
            <color indexed="81"/>
            <rFont val="Tahoma"/>
            <family val="2"/>
          </rPr>
          <t xml:space="preserve">Daose:
</t>
        </r>
        <r>
          <rPr>
            <sz val="9"/>
            <color indexed="81"/>
            <rFont val="Tahoma"/>
            <family val="2"/>
          </rPr>
          <t>(área da base + área das 4 paredes)</t>
        </r>
      </text>
    </comment>
    <comment ref="D351" authorId="0">
      <text>
        <r>
          <rPr>
            <b/>
            <sz val="9"/>
            <color indexed="81"/>
            <rFont val="Tahoma"/>
            <family val="2"/>
          </rPr>
          <t xml:space="preserve">Daose:
</t>
        </r>
        <r>
          <rPr>
            <sz val="9"/>
            <color indexed="81"/>
            <rFont val="Tahoma"/>
            <family val="2"/>
          </rPr>
          <t>(área da base + área das 4 paredes)</t>
        </r>
      </text>
    </comment>
  </commentList>
</comments>
</file>

<file path=xl/sharedStrings.xml><?xml version="1.0" encoding="utf-8"?>
<sst xmlns="http://schemas.openxmlformats.org/spreadsheetml/2006/main" count="2826" uniqueCount="653">
  <si>
    <t>Demolição/Retirada divisórias</t>
  </si>
  <si>
    <t>Serviços</t>
  </si>
  <si>
    <t>Local</t>
  </si>
  <si>
    <t>Largura</t>
  </si>
  <si>
    <t>Altura</t>
  </si>
  <si>
    <t>und</t>
  </si>
  <si>
    <t>Total</t>
  </si>
  <si>
    <t>Divisória 1</t>
  </si>
  <si>
    <t>Divisória 2</t>
  </si>
  <si>
    <t>Divisória 3</t>
  </si>
  <si>
    <t>m²</t>
  </si>
  <si>
    <t>Palentologia</t>
  </si>
  <si>
    <t>Divisória 4</t>
  </si>
  <si>
    <t>Divisória 5</t>
  </si>
  <si>
    <t>Divisória 6</t>
  </si>
  <si>
    <t>Divisória 7</t>
  </si>
  <si>
    <t>Herpetologia</t>
  </si>
  <si>
    <t>Divisória 8</t>
  </si>
  <si>
    <t>Demolição/Retirada balcões</t>
  </si>
  <si>
    <t>Balcão 1</t>
  </si>
  <si>
    <t>Balcão 2</t>
  </si>
  <si>
    <t>Div. Naval 3,77m - 35mm - CEGA</t>
  </si>
  <si>
    <t xml:space="preserve">Div. Naval 2,20m - 35mm </t>
  </si>
  <si>
    <t>TOTAL</t>
  </si>
  <si>
    <t>Div. Naval 3,77m - 35mm - C/ VIDRO</t>
  </si>
  <si>
    <t>Tomada baixa</t>
  </si>
  <si>
    <t>Pontos de Tomada (2P+T)</t>
  </si>
  <si>
    <t>Tomada média</t>
  </si>
  <si>
    <t>Tomada alta</t>
  </si>
  <si>
    <t>Pontos de Ar Condicionado</t>
  </si>
  <si>
    <t>Ponto de ar</t>
  </si>
  <si>
    <t>Pontos de Lógica</t>
  </si>
  <si>
    <t>Ponto de lógica</t>
  </si>
  <si>
    <t>Pontos de telefone</t>
  </si>
  <si>
    <t>Ponto de telefone</t>
  </si>
  <si>
    <t>Pontos de interruptor S1</t>
  </si>
  <si>
    <t>Ponto de interruptor S1</t>
  </si>
  <si>
    <t>Pontos de interruptor S2</t>
  </si>
  <si>
    <t>Ponto de interruptor S2</t>
  </si>
  <si>
    <t>Luminária 2x40w</t>
  </si>
  <si>
    <t>Invertebrados</t>
  </si>
  <si>
    <t>Ornitologia</t>
  </si>
  <si>
    <t>Mastozoologia</t>
  </si>
  <si>
    <t xml:space="preserve">Div. Naval 2,00m - 35mm c/ Vidro </t>
  </si>
  <si>
    <t>Div. Naval 2,50m - 35mm - CEGA</t>
  </si>
  <si>
    <t>Div. Naval 2,74m - 35mm - c/ vidro</t>
  </si>
  <si>
    <t>Sala s/nome</t>
  </si>
  <si>
    <t>Botânica</t>
  </si>
  <si>
    <t>Lab. Botânica</t>
  </si>
  <si>
    <t>Taxidermia</t>
  </si>
  <si>
    <t>Ictiologia</t>
  </si>
  <si>
    <t>Ictologia</t>
  </si>
  <si>
    <t>Pontos de interruptor S3</t>
  </si>
  <si>
    <t>Ponto de interruptor S3</t>
  </si>
  <si>
    <t>Pintura</t>
  </si>
  <si>
    <t>Desc.</t>
  </si>
  <si>
    <t>Comp.</t>
  </si>
  <si>
    <t>Hepertologia</t>
  </si>
  <si>
    <t xml:space="preserve">Parede </t>
  </si>
  <si>
    <t>Paredes 1</t>
  </si>
  <si>
    <t>Paredes 2</t>
  </si>
  <si>
    <t>Paredes 3</t>
  </si>
  <si>
    <t>Parede</t>
  </si>
  <si>
    <t>Acesso</t>
  </si>
  <si>
    <t>Parede 1</t>
  </si>
  <si>
    <t>Parede 2</t>
  </si>
  <si>
    <t>Parede 3</t>
  </si>
  <si>
    <t>Parede 4</t>
  </si>
  <si>
    <t>Parede 5</t>
  </si>
  <si>
    <t>Box Def. (F)</t>
  </si>
  <si>
    <t>Hall (F)</t>
  </si>
  <si>
    <t>Box Chuv. 2 (F)</t>
  </si>
  <si>
    <t>Box Chuv. 1 (F)</t>
  </si>
  <si>
    <t>Box 1, 2 e 3 (F)</t>
  </si>
  <si>
    <t>Lavatório (M)</t>
  </si>
  <si>
    <t>Box Chuv. 1 (M)</t>
  </si>
  <si>
    <t>Box Def. (M)</t>
  </si>
  <si>
    <t>Box 1 (M)</t>
  </si>
  <si>
    <t>Box 2, 3 e 4 (M)</t>
  </si>
  <si>
    <t>Hall (M)</t>
  </si>
  <si>
    <t>Lavatório (F)</t>
  </si>
  <si>
    <t>Parede 6</t>
  </si>
  <si>
    <t>Parede 7</t>
  </si>
  <si>
    <t>Parede 8</t>
  </si>
  <si>
    <t>Recup./Verif. de Alvenaria Estrutural</t>
  </si>
  <si>
    <t>Rev./Limp. Revest. Cerêmico</t>
  </si>
  <si>
    <t>Forro de pvc</t>
  </si>
  <si>
    <t>Área</t>
  </si>
  <si>
    <t>Wc feminino</t>
  </si>
  <si>
    <t>Wc masculino</t>
  </si>
  <si>
    <t>Ponto de tomada baixa</t>
  </si>
  <si>
    <t>Demolição rampa em concreto</t>
  </si>
  <si>
    <t>Rampa I</t>
  </si>
  <si>
    <t>Rampa II</t>
  </si>
  <si>
    <t>Acesso ao WC</t>
  </si>
  <si>
    <t>unidade</t>
  </si>
  <si>
    <t>ÁREA 1</t>
  </si>
  <si>
    <t>ÁREA 2</t>
  </si>
  <si>
    <t>ÁREA 3</t>
  </si>
  <si>
    <t>Retirada de Divisórias</t>
  </si>
  <si>
    <t>Retirada de bancadas</t>
  </si>
  <si>
    <t>Ponto de Telefone</t>
  </si>
  <si>
    <t>Emassamento acrílico</t>
  </si>
  <si>
    <t>Rampa de concreto</t>
  </si>
  <si>
    <t>Pontos de tomada</t>
  </si>
  <si>
    <t>Malacologia</t>
  </si>
  <si>
    <t>Porta divisória naval</t>
  </si>
  <si>
    <t>Toalheiro em pvc retangular branco</t>
  </si>
  <si>
    <t>Saboneteira plástica para sabonete líquido</t>
  </si>
  <si>
    <t>Chuveiro plástico branco</t>
  </si>
  <si>
    <t>Assento articulado</t>
  </si>
  <si>
    <t>Barra de apoio em inox</t>
  </si>
  <si>
    <t>Espelho 4mm</t>
  </si>
  <si>
    <t>Bancada em granito tipo ouro branco</t>
  </si>
  <si>
    <t>Divisória em granito tipo ouro branco</t>
  </si>
  <si>
    <t>Registro de pressão para chuveiro</t>
  </si>
  <si>
    <t>Vidro 4,00mm</t>
  </si>
  <si>
    <t>Forro de PVC</t>
  </si>
  <si>
    <t>Cuba de embutir em louça (290x440mm)</t>
  </si>
  <si>
    <t>Vaso com caixa acoplada, louça branca, incl engante</t>
  </si>
  <si>
    <t>Lavatório suspenso em louça branca 320x430mm</t>
  </si>
  <si>
    <t>Torneira monocomando por alavanca 1/4 de volta</t>
  </si>
  <si>
    <t>Mictório em louça na cor branca c/ reg de pressão</t>
  </si>
  <si>
    <t>74234/001</t>
  </si>
  <si>
    <t>Serviço</t>
  </si>
  <si>
    <t>quantidade</t>
  </si>
  <si>
    <t>Custo Unitário</t>
  </si>
  <si>
    <t>Custo Total</t>
  </si>
  <si>
    <t>Fonte</t>
  </si>
  <si>
    <t>Codigo</t>
  </si>
  <si>
    <t>Limpeza</t>
  </si>
  <si>
    <t>Chapisco</t>
  </si>
  <si>
    <t>Reboco</t>
  </si>
  <si>
    <t>Selador</t>
  </si>
  <si>
    <t xml:space="preserve">Granito </t>
  </si>
  <si>
    <t>Testeira</t>
  </si>
  <si>
    <t>Ponto de água</t>
  </si>
  <si>
    <t>Massa corrida</t>
  </si>
  <si>
    <t>orse</t>
  </si>
  <si>
    <t>01353</t>
  </si>
  <si>
    <t>Ponto de esgoto 40mm</t>
  </si>
  <si>
    <t>01678</t>
  </si>
  <si>
    <t>73948/010</t>
  </si>
  <si>
    <t>sinapi</t>
  </si>
  <si>
    <t>Remoção e reassentamento de bancada de mármore ou granito</t>
  </si>
  <si>
    <t>10097</t>
  </si>
  <si>
    <t>Prateleira granito ouro branco</t>
  </si>
  <si>
    <t>07272</t>
  </si>
  <si>
    <t>Torneira de aço inox</t>
  </si>
  <si>
    <t>86906</t>
  </si>
  <si>
    <t>Alvenaria de bloco cerâmico 9x19x19</t>
  </si>
  <si>
    <t>87496</t>
  </si>
  <si>
    <t>87878</t>
  </si>
  <si>
    <t>75481</t>
  </si>
  <si>
    <t>88484</t>
  </si>
  <si>
    <t>cuba retangular de aço inox</t>
  </si>
  <si>
    <t>86935</t>
  </si>
  <si>
    <t>Composição 04</t>
  </si>
  <si>
    <t>Composição 05</t>
  </si>
  <si>
    <t xml:space="preserve">Bancada 1 - Det. A, B, D, E, F
</t>
  </si>
  <si>
    <t>Bancada 2 - Det. D</t>
  </si>
  <si>
    <t xml:space="preserve">Bancada 3 - Det. E, D, G
</t>
  </si>
  <si>
    <t xml:space="preserve">Bancada 4 - Det. D, G
</t>
  </si>
  <si>
    <t>Bancada 5 - Det. H, G, F</t>
  </si>
  <si>
    <t xml:space="preserve">Bancada 6 - Det. E, D, G
</t>
  </si>
  <si>
    <t>Composição 06</t>
  </si>
  <si>
    <t>Composição 07</t>
  </si>
  <si>
    <t>Composição 08</t>
  </si>
  <si>
    <t xml:space="preserve">Bancada 7 - Det. E, D, D, G
</t>
  </si>
  <si>
    <t xml:space="preserve">Bancada 8 - Det. E, D, D, G
</t>
  </si>
  <si>
    <t>Composição 09</t>
  </si>
  <si>
    <t xml:space="preserve">Bancada 9 - Det. B
</t>
  </si>
  <si>
    <t>Composição 10</t>
  </si>
  <si>
    <t xml:space="preserve">Bancada 10 - Det. C, B, A, D
</t>
  </si>
  <si>
    <t>Composição 11</t>
  </si>
  <si>
    <t xml:space="preserve">Bancada 11 - Det. B, C
</t>
  </si>
  <si>
    <t>Composição 12</t>
  </si>
  <si>
    <t xml:space="preserve">Bancada 12 - Det. A. B, C
</t>
  </si>
  <si>
    <t>Composição 13</t>
  </si>
  <si>
    <t xml:space="preserve">Bancada 13 - Det. C
</t>
  </si>
  <si>
    <t>Composição 14</t>
  </si>
  <si>
    <t xml:space="preserve">Bancada 14 - Det. B, C
</t>
  </si>
  <si>
    <t>Composição 15</t>
  </si>
  <si>
    <t xml:space="preserve">Bancada 15 - Det. A. B, C
</t>
  </si>
  <si>
    <t>Cantoneira</t>
  </si>
  <si>
    <t>m</t>
  </si>
  <si>
    <t>93,14</t>
  </si>
  <si>
    <t>Bancada tipo 1</t>
  </si>
  <si>
    <t>Bancada tipo 2</t>
  </si>
  <si>
    <t>Bancada tipo 3</t>
  </si>
  <si>
    <t>Bancada tipo 4</t>
  </si>
  <si>
    <t>Bancada tipo 5</t>
  </si>
  <si>
    <t>Bancada tipo 6</t>
  </si>
  <si>
    <t>Bancada tipo 7</t>
  </si>
  <si>
    <t>Bancada tipo 8</t>
  </si>
  <si>
    <t>Bancada tipo 9</t>
  </si>
  <si>
    <t>Bancada tipo 10</t>
  </si>
  <si>
    <t>Bancada tipo 11</t>
  </si>
  <si>
    <t>Bancada tipo 12</t>
  </si>
  <si>
    <t>Bancada tipo 13</t>
  </si>
  <si>
    <t>Bancada tipo 14</t>
  </si>
  <si>
    <t>Bancada tipo 15</t>
  </si>
  <si>
    <t>Piso cerâmico</t>
  </si>
  <si>
    <t>Demolição de contra-piso</t>
  </si>
  <si>
    <t>Demolição de cerâmica</t>
  </si>
  <si>
    <t>73801/002</t>
  </si>
  <si>
    <t>Demolição de reboco</t>
  </si>
  <si>
    <t>Demolição de azulejo 15x15</t>
  </si>
  <si>
    <t>Contrapiso e regularização</t>
  </si>
  <si>
    <t>Retirada de aparelhos sanitários</t>
  </si>
  <si>
    <t>Fechamento em MDF 20mm, com laminado melamínico na cor branco gelo</t>
  </si>
  <si>
    <t>Revestimento cerâmico 15x15 branco (paredes)</t>
  </si>
  <si>
    <t>Reboco de teto</t>
  </si>
  <si>
    <t>Demolição de reboco de teto</t>
  </si>
  <si>
    <t>Janela de madeira almofadada</t>
  </si>
  <si>
    <t>Janela de madeira tipo veneziana/vidro</t>
  </si>
  <si>
    <t>73739/001</t>
  </si>
  <si>
    <t>Composição 16</t>
  </si>
  <si>
    <t>Rampa em concreto</t>
  </si>
  <si>
    <t>m³</t>
  </si>
  <si>
    <t>Embasamento</t>
  </si>
  <si>
    <t>Concreto</t>
  </si>
  <si>
    <t>Regularização de superfície de concreto</t>
  </si>
  <si>
    <t>40780</t>
  </si>
  <si>
    <t>73406</t>
  </si>
  <si>
    <t>83518</t>
  </si>
  <si>
    <t>79474</t>
  </si>
  <si>
    <t>Composição 1</t>
  </si>
  <si>
    <t>Composição 2</t>
  </si>
  <si>
    <t>Composição 17</t>
  </si>
  <si>
    <t>Composição 18</t>
  </si>
  <si>
    <t>Demolição de piso</t>
  </si>
  <si>
    <t>Demolição de contrapiso</t>
  </si>
  <si>
    <t>022</t>
  </si>
  <si>
    <t>Recuperação de piso - Lab. de botânica</t>
  </si>
  <si>
    <t>concreto 15Mpa - preparo, lanc. e adens.</t>
  </si>
  <si>
    <t>Escavação manual</t>
  </si>
  <si>
    <t>87246</t>
  </si>
  <si>
    <t>Composição 3</t>
  </si>
  <si>
    <t>Carpinteiro</t>
  </si>
  <si>
    <t>h</t>
  </si>
  <si>
    <t>Pedreiro</t>
  </si>
  <si>
    <t>Servente</t>
  </si>
  <si>
    <t>Cola fórmica</t>
  </si>
  <si>
    <t>kg</t>
  </si>
  <si>
    <t>Fórmica Almond. ou similar</t>
  </si>
  <si>
    <t>0622</t>
  </si>
  <si>
    <t>6111</t>
  </si>
  <si>
    <t>4750</t>
  </si>
  <si>
    <t>1213</t>
  </si>
  <si>
    <t>Chapa em MDF cru. esp 5mm</t>
  </si>
  <si>
    <t>8384</t>
  </si>
  <si>
    <t>9123</t>
  </si>
  <si>
    <t>UNIVERSIDADE FEDERAL DE ALAGOAS</t>
  </si>
  <si>
    <t>SUPERINTENDÊNCIA DE INFRAESTRUTURA  -  GERÊNCIA DE PROJETOS, OBRAS E SERVIÇOS DE ENGENHARIA</t>
  </si>
  <si>
    <t>ITEM</t>
  </si>
  <si>
    <t>DESCRIÇÃO DOS SERVIÇOS</t>
  </si>
  <si>
    <t>FONTE</t>
  </si>
  <si>
    <t>CÓDIGO</t>
  </si>
  <si>
    <t>UND</t>
  </si>
  <si>
    <t>QUANT.</t>
  </si>
  <si>
    <t>Custo UNIT. de Referência</t>
  </si>
  <si>
    <t>Custo TOTAL de Referência</t>
  </si>
  <si>
    <t>VARIAÇÃO ENTRE O Custo UNITÁRIO DE REFERÊNCIA E O Custo UNITÁRIO DA PROPOSTA (%)</t>
  </si>
  <si>
    <t>CUSTO UNITÁRIO DA PROPOSTA</t>
  </si>
  <si>
    <t>CUSTO TOTAL DA PROPOSTA</t>
  </si>
  <si>
    <t>CUSTO POR ITEM DA PROPOSTA</t>
  </si>
  <si>
    <t>1.0</t>
  </si>
  <si>
    <t xml:space="preserve">SERVIÇOS PRELIMINARES </t>
  </si>
  <si>
    <t>1.1</t>
  </si>
  <si>
    <t>As built - Como construído</t>
  </si>
  <si>
    <t>ORSE</t>
  </si>
  <si>
    <r>
      <t>m</t>
    </r>
    <r>
      <rPr>
        <vertAlign val="superscript"/>
        <sz val="11"/>
        <rFont val="Arial"/>
        <family val="2"/>
      </rPr>
      <t>2</t>
    </r>
  </si>
  <si>
    <t>1.3</t>
  </si>
  <si>
    <t>Placa De Obra Em Chapa De Aco Galvanizado</t>
  </si>
  <si>
    <t>SINAPI</t>
  </si>
  <si>
    <t xml:space="preserve"> 74209/001</t>
  </si>
  <si>
    <t>2.0</t>
  </si>
  <si>
    <t>SERVIÇOS DE RETIRADA E DEMOLIÇÃO</t>
  </si>
  <si>
    <t>2.1</t>
  </si>
  <si>
    <t>2.2</t>
  </si>
  <si>
    <t>2.3</t>
  </si>
  <si>
    <t>2.4</t>
  </si>
  <si>
    <t>2.5</t>
  </si>
  <si>
    <t>2.6</t>
  </si>
  <si>
    <t>2.7</t>
  </si>
  <si>
    <t>2.8</t>
  </si>
  <si>
    <t>3.0</t>
  </si>
  <si>
    <t>ESQUADRIA</t>
  </si>
  <si>
    <t>3.1</t>
  </si>
  <si>
    <t>3.2</t>
  </si>
  <si>
    <t>un</t>
  </si>
  <si>
    <t>3.3</t>
  </si>
  <si>
    <t>3.4</t>
  </si>
  <si>
    <t>4.0</t>
  </si>
  <si>
    <t>4.1</t>
  </si>
  <si>
    <t>4.2</t>
  </si>
  <si>
    <t>5.0</t>
  </si>
  <si>
    <t>ADMINISTRAÇÃO LOCAL DA OBRA</t>
  </si>
  <si>
    <t>5.1</t>
  </si>
  <si>
    <t>Mestre De Obras (8h)</t>
  </si>
  <si>
    <t>mês</t>
  </si>
  <si>
    <t>5.2</t>
  </si>
  <si>
    <t>Engenheiro De Obra Junior (2h)</t>
  </si>
  <si>
    <t>5.4</t>
  </si>
  <si>
    <t>Almoxarife(8h)</t>
  </si>
  <si>
    <t>6.0</t>
  </si>
  <si>
    <t>6.1</t>
  </si>
  <si>
    <t>6.2</t>
  </si>
  <si>
    <t>6.3</t>
  </si>
  <si>
    <t>7.0</t>
  </si>
  <si>
    <t>8.0</t>
  </si>
  <si>
    <t>FORRO</t>
  </si>
  <si>
    <t>8.1</t>
  </si>
  <si>
    <t>9.0</t>
  </si>
  <si>
    <t>DIVISORIA</t>
  </si>
  <si>
    <t>9.1</t>
  </si>
  <si>
    <t>9.2</t>
  </si>
  <si>
    <t>9.3</t>
  </si>
  <si>
    <t>10.0</t>
  </si>
  <si>
    <t>10.1</t>
  </si>
  <si>
    <t>10.2</t>
  </si>
  <si>
    <t>11.0</t>
  </si>
  <si>
    <t>DIVERSOS</t>
  </si>
  <si>
    <t>12.0</t>
  </si>
  <si>
    <t>SERVIÇOS COMPLEMENTARES</t>
  </si>
  <si>
    <t>Limpeza Final Da Obra</t>
  </si>
  <si>
    <t>Carga Manual E Remocao E Entulho Com Transporte</t>
  </si>
  <si>
    <t>Placa De Inauguracao Duraluminio 40 X 60cm</t>
  </si>
  <si>
    <t>CUSTO DE REFERÊNCIA DA OBRA (R$)</t>
  </si>
  <si>
    <t>CUSTO DA PROPOSTA</t>
  </si>
  <si>
    <t>BDI SOBRE O CUSTO DA OBRA (REFERÊNCIA) (27,00%) (R$)</t>
  </si>
  <si>
    <t>BDI SOBRE O CUSTO DA OBRA (PROPOSTA)</t>
  </si>
  <si>
    <t xml:space="preserve"> PREÇO TOTAL DE REFERÊNCIA DA OBRA (R$)</t>
  </si>
  <si>
    <t>PREÇO TOTAL DA PROPOSTA</t>
  </si>
  <si>
    <t>Maceió, ____ de ______________ de______</t>
  </si>
  <si>
    <t>0022</t>
  </si>
  <si>
    <t>0017</t>
  </si>
  <si>
    <t>SERVIÇOS DE REVISÃO E RECUPERAÇÃO</t>
  </si>
  <si>
    <t>2.9</t>
  </si>
  <si>
    <t>Revisão em cobertura com telha cer. tipo canal com 30% de reposição</t>
  </si>
  <si>
    <t>0273</t>
  </si>
  <si>
    <t>Recuperação de fissura em alvenaria</t>
  </si>
  <si>
    <t>04113</t>
  </si>
  <si>
    <t>Recuperação do piso do Lab. de Botânica</t>
  </si>
  <si>
    <t>composição</t>
  </si>
  <si>
    <t>1</t>
  </si>
  <si>
    <t>Revisão das esquadrias de madeira</t>
  </si>
  <si>
    <t>01797</t>
  </si>
  <si>
    <t>ESTRUTURA</t>
  </si>
  <si>
    <t>2</t>
  </si>
  <si>
    <t>87620</t>
  </si>
  <si>
    <t>73910/010
+84887</t>
  </si>
  <si>
    <t>3</t>
  </si>
  <si>
    <t>74071/02+
84447</t>
  </si>
  <si>
    <t>08709</t>
  </si>
  <si>
    <t>Porta folha em compensado, (1,00x2,10)m, com maçaneta tipo alavanca</t>
  </si>
  <si>
    <t>Porta folha em veneziana de alum., (0,90x1,60)m, com maçaneta tipo alavanca</t>
  </si>
  <si>
    <t>Porta folha em veneziana de alum., (0,60x1,60)m, com maçaneta tipo alavanca</t>
  </si>
  <si>
    <t xml:space="preserve">Porta de madeira almofadada </t>
  </si>
  <si>
    <t>5.3</t>
  </si>
  <si>
    <t>5.5</t>
  </si>
  <si>
    <t>5.6</t>
  </si>
  <si>
    <t>5.7</t>
  </si>
  <si>
    <t>5.8</t>
  </si>
  <si>
    <t>REVESTIMENTOS</t>
  </si>
  <si>
    <t>Reboco de parede</t>
  </si>
  <si>
    <t>Pintura acrílica acetinada (parede)</t>
  </si>
  <si>
    <t>Pintura acrílica acetinado (teto)</t>
  </si>
  <si>
    <t>Pintura esmalte sint. acet. em madeira, duas demãos</t>
  </si>
  <si>
    <t>Pintura eletrostática ou epoxi em alumínio 2 demãos (porta do box)</t>
  </si>
  <si>
    <t>08624</t>
  </si>
  <si>
    <t>05045</t>
  </si>
  <si>
    <t>Divisória naval (painel cego) e=40mm com perfis de aço</t>
  </si>
  <si>
    <t>Divisória naval (painel com vidro) e=40mm com perfis de aço</t>
  </si>
  <si>
    <t>04065</t>
  </si>
  <si>
    <t>00176</t>
  </si>
  <si>
    <t>04066</t>
  </si>
  <si>
    <t>73953/006</t>
  </si>
  <si>
    <t>LOUÇAS E METAIS</t>
  </si>
  <si>
    <t>9.4</t>
  </si>
  <si>
    <t>9.5</t>
  </si>
  <si>
    <t>9.6</t>
  </si>
  <si>
    <t>9.7</t>
  </si>
  <si>
    <t>9.8</t>
  </si>
  <si>
    <t>04287</t>
  </si>
  <si>
    <t>02050</t>
  </si>
  <si>
    <t>02066</t>
  </si>
  <si>
    <t>02390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</si>
  <si>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</si>
  <si>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</si>
  <si>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</si>
  <si>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</si>
  <si>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</si>
  <si>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</si>
  <si>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</si>
  <si>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</si>
  <si>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</si>
  <si>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04</t>
  </si>
  <si>
    <t>05</t>
  </si>
  <si>
    <t>06</t>
  </si>
  <si>
    <t>07</t>
  </si>
  <si>
    <t>08</t>
  </si>
  <si>
    <t>09</t>
  </si>
  <si>
    <t>13.0</t>
  </si>
  <si>
    <t>Ponto de esgoto</t>
  </si>
  <si>
    <t>Luminária 4x40w</t>
  </si>
  <si>
    <t>Porta de ferro tipo veneziana</t>
  </si>
  <si>
    <t>Piso em taco de madeira, fixado c/ cola a base de pva</t>
  </si>
  <si>
    <t>73933/003</t>
  </si>
  <si>
    <t>Composição 19</t>
  </si>
  <si>
    <t>Retirada de cerâmica</t>
  </si>
  <si>
    <t>Retirada de reboco</t>
  </si>
  <si>
    <t>Aplicação de revestimento cerâmico 15x15</t>
  </si>
  <si>
    <t>87266</t>
  </si>
  <si>
    <t>Aplicação de manta asfáltica 4,00m</t>
  </si>
  <si>
    <t>83738</t>
  </si>
  <si>
    <t>Proteção mecânica traço 1:3</t>
  </si>
  <si>
    <t>83748</t>
  </si>
  <si>
    <t>Tanque 1 - Laboratório de anatomia 03</t>
  </si>
  <si>
    <t>Composição 20</t>
  </si>
  <si>
    <t>Composição 21</t>
  </si>
  <si>
    <t>Tanque 2 - Laboratório de anatomia 02</t>
  </si>
  <si>
    <t>Tanque 3 - Laboratório de anatomia 02</t>
  </si>
  <si>
    <t>Composição 22</t>
  </si>
  <si>
    <t>Tanque 4 - Laboratório de anatomia 02</t>
  </si>
  <si>
    <t>Composição 23</t>
  </si>
  <si>
    <t>Ponto de água fria</t>
  </si>
  <si>
    <t>Ponto de luz em teto ou parede</t>
  </si>
  <si>
    <t>73953/008</t>
  </si>
  <si>
    <t>5.9</t>
  </si>
  <si>
    <t>7.1</t>
  </si>
  <si>
    <t>73986/001</t>
  </si>
  <si>
    <t>6.9</t>
  </si>
  <si>
    <t>84181</t>
  </si>
  <si>
    <t>Forro de Gesso</t>
  </si>
  <si>
    <t>9.9</t>
  </si>
  <si>
    <t>9.10</t>
  </si>
  <si>
    <t>3294</t>
  </si>
  <si>
    <t>7139</t>
  </si>
  <si>
    <t>0677</t>
  </si>
  <si>
    <t>19</t>
  </si>
  <si>
    <t>20</t>
  </si>
  <si>
    <t>21</t>
  </si>
  <si>
    <t>22</t>
  </si>
  <si>
    <t>23</t>
  </si>
  <si>
    <t>Tanque Anatomia 1</t>
  </si>
  <si>
    <t>Tanque Anatomia 2</t>
  </si>
  <si>
    <t>Tanque Anatomia 3</t>
  </si>
  <si>
    <t>Tanque Anatomia 4</t>
  </si>
  <si>
    <t>Tanque Anatomia 5</t>
  </si>
  <si>
    <t>SUPERINTENDÊNCIA DE INFRAESTRUTURA - SINFRA</t>
  </si>
  <si>
    <t>GERENCIA DE PROJETOS,OBRAS E SERVIÇOS DE ENGENHARIA - GPOS</t>
  </si>
  <si>
    <t>DESCRIÇÃO DO ITEM</t>
  </si>
  <si>
    <t>VALOR TOTAL</t>
  </si>
  <si>
    <t>(%)</t>
  </si>
  <si>
    <t>R$</t>
  </si>
  <si>
    <t>VALOR MENSAL</t>
  </si>
  <si>
    <t>UNIVERSIDADE FEDERAL DE ALAGOAS - UFAL</t>
  </si>
  <si>
    <t>CRONOGRAMA FÍSICO-FINANCEIRO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</si>
  <si>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</si>
  <si>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</si>
  <si>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</si>
  <si>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</si>
  <si>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</si>
  <si>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</si>
  <si>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</si>
  <si>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</si>
  <si>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</si>
  <si>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</si>
  <si>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</si>
  <si>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</si>
  <si>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%</t>
  </si>
  <si>
    <t>01.</t>
  </si>
  <si>
    <t>02.</t>
  </si>
  <si>
    <t>03.</t>
  </si>
  <si>
    <t>04.</t>
  </si>
  <si>
    <t>05.</t>
  </si>
  <si>
    <t>06.</t>
  </si>
  <si>
    <t>07.</t>
  </si>
  <si>
    <t>08.</t>
  </si>
  <si>
    <t>10.</t>
  </si>
  <si>
    <t>11.</t>
  </si>
  <si>
    <t>12.</t>
  </si>
  <si>
    <t>13.</t>
  </si>
  <si>
    <t>14.</t>
  </si>
  <si>
    <t>15.</t>
  </si>
  <si>
    <t>16.</t>
  </si>
  <si>
    <t>SUBTOTAL</t>
  </si>
  <si>
    <t xml:space="preserve">VALOR ACUMULADO </t>
  </si>
  <si>
    <t>SERVIÇOS PRELIMINARES</t>
  </si>
  <si>
    <t>SERVIÇOS DE RETIRADA 
E DEMOLIÇÃO</t>
  </si>
  <si>
    <t>SERVIÇOS DE REVISÃO 
E RECUPERAÇÃO</t>
  </si>
  <si>
    <t>FÔRRO</t>
  </si>
  <si>
    <t>DIVISÓRIA</t>
  </si>
  <si>
    <t>INSTALAÇÕES TELEFÔNICA E LÓGICA</t>
  </si>
  <si>
    <t>INSTALAÇÕES ELÉTRICAS</t>
  </si>
  <si>
    <t>11.1</t>
  </si>
  <si>
    <t>11.2</t>
  </si>
  <si>
    <t>1678</t>
  </si>
  <si>
    <t>1200</t>
  </si>
  <si>
    <t>Cabo de cobre isol. 1,5mm²</t>
  </si>
  <si>
    <t>Cabo de cobre isol. 6,0mm²</t>
  </si>
  <si>
    <t>Cabo de cobre isol. 16,0mm²</t>
  </si>
  <si>
    <t>Cabo de cobre isol. 25,0mm²</t>
  </si>
  <si>
    <t>73860/007</t>
  </si>
  <si>
    <t>Ponto de tomada hex. (2P+T) - 10A</t>
  </si>
  <si>
    <t>Ponto de tomada hex. (2P+T) - 20A</t>
  </si>
  <si>
    <t>73860/010</t>
  </si>
  <si>
    <t>73860/012</t>
  </si>
  <si>
    <t>73860/013</t>
  </si>
  <si>
    <t>Luminária 1x40w</t>
  </si>
  <si>
    <t>73953/005</t>
  </si>
  <si>
    <t>Disjuntor unip. term. norma DIN 10A</t>
  </si>
  <si>
    <t>Disjuntor unip. term. norma DIN 13A</t>
  </si>
  <si>
    <t>Disjuntor unip. term. norma DIN 16A</t>
  </si>
  <si>
    <t>Disjuntor unip. term. norma DIN 20A</t>
  </si>
  <si>
    <t>74130/001</t>
  </si>
  <si>
    <t>7996</t>
  </si>
  <si>
    <t>Disjuntor bip. DR (30mA) DIN 13A</t>
  </si>
  <si>
    <t>Disjuntor bip. DR (30mA) DIN 16A</t>
  </si>
  <si>
    <t>Disjuntor trip. term. norma DIN 100A</t>
  </si>
  <si>
    <t>Disjuntor trip. term. norma DIN 13A</t>
  </si>
  <si>
    <t>Disjuntor trip. term. norma DIN 16A</t>
  </si>
  <si>
    <t>Disjuntor trip. term. norma DIN 20A</t>
  </si>
  <si>
    <t>74130/004</t>
  </si>
  <si>
    <t>73130/005</t>
  </si>
  <si>
    <t>Quadro dist., chapa pintada, sobrepor, barra trif., disj. geral, compacto - UL cap 50 disj. Unip - In barr. 100A</t>
  </si>
  <si>
    <t>Quadro dist., chapa pintada, sobrepor, barra trif., disj. geral - UL, cap 50 disj. Unip - In barr. 225A</t>
  </si>
  <si>
    <t>Quadro dist., chapa pintada, sobrepor, barra trif., disj. geral, compacto - DIN, cap 30 disj. Unip - In barr. 100A</t>
  </si>
  <si>
    <t>74131/008</t>
  </si>
  <si>
    <t>74131/006</t>
  </si>
  <si>
    <t>0482</t>
  </si>
  <si>
    <t>Quadro dist. plástico - sobrepor, pente de lig. trif. cap 12 disj. unip. In Pente 80A</t>
  </si>
  <si>
    <t>INSTALAÇÕES HIDROSSANITÁRIAS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</si>
  <si>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</si>
  <si>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</si>
  <si>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</si>
  <si>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</si>
  <si>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</si>
  <si>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</si>
  <si>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</si>
  <si>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</si>
  <si>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</si>
  <si>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</si>
  <si>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</si>
  <si>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</si>
  <si>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</si>
  <si>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</si>
  <si>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</si>
  <si>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</si>
  <si>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</si>
  <si>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</si>
  <si>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</si>
  <si>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</si>
  <si>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</si>
  <si>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</si>
  <si>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</si>
  <si>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</si>
  <si>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</si>
  <si>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</si>
  <si>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</si>
  <si>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</si>
  <si>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</si>
  <si>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</si>
  <si>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</si>
  <si>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</si>
  <si>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</si>
  <si>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</si>
  <si>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14.0</t>
  </si>
  <si>
    <t>14.1</t>
  </si>
  <si>
    <t>14.2</t>
  </si>
  <si>
    <t>14.3</t>
  </si>
  <si>
    <t>15.0</t>
  </si>
  <si>
    <t>15.1</t>
  </si>
  <si>
    <t>15.2</t>
  </si>
  <si>
    <t>15.3</t>
  </si>
  <si>
    <t>14.4</t>
  </si>
  <si>
    <t>14.5</t>
  </si>
  <si>
    <t>16.0</t>
  </si>
  <si>
    <t>PINTURA</t>
  </si>
  <si>
    <t>ADMINISTRAÇÃO DA OBRA</t>
  </si>
  <si>
    <t>BDI 27%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</si>
  <si>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</si>
  <si>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</si>
  <si>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</si>
  <si>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</si>
  <si>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</si>
  <si>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</si>
  <si>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</si>
  <si>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</si>
  <si>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7.2</t>
  </si>
  <si>
    <t>7.3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</si>
  <si>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</si>
  <si>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</si>
  <si>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</si>
  <si>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</si>
  <si>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</si>
  <si>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</si>
  <si>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</si>
  <si>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</si>
  <si>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</si>
  <si>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</si>
  <si>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</si>
  <si>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</si>
  <si>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</si>
  <si>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</si>
  <si>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</si>
  <si>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</si>
  <si>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</si>
  <si>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</t>
  </si>
  <si>
    <t>Desembolso</t>
  </si>
  <si>
    <t>Curva S</t>
  </si>
  <si>
    <t>Desembolso mensal (%)</t>
  </si>
  <si>
    <t>ORÇAMENTO BÁSICO ESTIMATIVO PARA RECUPERAÇÃO E REFORMA DO ANTIGO PRÉDIO DO CCBI PARA ACOMODAÇÃO DO MUSEU DE HISTÓRIA NATURAL E AULAS DE ANATOMINA DO CURSO DE MEDICINA.</t>
  </si>
  <si>
    <t>ORÇAMENTO BÁSICO ESTIMATIVO PARA RECUPERAÇÃO E REFORMA DO 
ANTIGO PRÉDIO DO CCBI PARA ACOMODAÇÃO DO MUSEU DE HISTÓRIA
NATURAL E AULAS DE ANATOMINA DO CURSO DE MEDICINA.</t>
  </si>
  <si>
    <t>Referência: Orse e Sinapi - Ago/2014</t>
  </si>
  <si>
    <t>Bruno César Morais Correia</t>
  </si>
  <si>
    <t>SIAPE 2.155.052</t>
  </si>
  <si>
    <t>Engenheiro Civil - DAOSE/GPOS/SINFRA/UFAL</t>
  </si>
  <si>
    <t>1.2</t>
  </si>
  <si>
    <t>7351</t>
  </si>
  <si>
    <t>Projeto de combate a incêndio e pânico</t>
  </si>
  <si>
    <t>3277</t>
  </si>
  <si>
    <t>3279</t>
  </si>
  <si>
    <t>3293</t>
  </si>
  <si>
    <t>0639</t>
  </si>
  <si>
    <t>3299</t>
  </si>
  <si>
    <t>Eletroduto pvc rígido 1"</t>
  </si>
  <si>
    <t>Eletroduto pvc rígido 1.1/2"</t>
  </si>
  <si>
    <t>Eletroduto pvc rígido 1.1/4"</t>
  </si>
  <si>
    <t>Eletroduto pvc rígido 1/2"</t>
  </si>
  <si>
    <t>Eletroduto pvc rígido 2"</t>
  </si>
  <si>
    <t>Eletroduto pvc rígido 2.1/2"</t>
  </si>
  <si>
    <t>Eletroduto pvc rígido 3/4"</t>
  </si>
  <si>
    <t>9.28</t>
  </si>
  <si>
    <t>9.29</t>
  </si>
  <si>
    <t>9.30</t>
  </si>
  <si>
    <t>9.31</t>
  </si>
  <si>
    <t>9.32</t>
  </si>
  <si>
    <t>9.33</t>
  </si>
  <si>
    <t>9.34</t>
  </si>
  <si>
    <t>55865</t>
  </si>
  <si>
    <t>55866</t>
  </si>
  <si>
    <t>73613</t>
  </si>
  <si>
    <t>73614</t>
  </si>
  <si>
    <t>83407</t>
  </si>
  <si>
    <t>83408</t>
  </si>
  <si>
    <t>83410</t>
  </si>
  <si>
    <t>73775/002</t>
  </si>
  <si>
    <t>Extintor de incêndio água pressurizada 10L - fornecimento e colocação</t>
  </si>
  <si>
    <t>O orçamento foi estimado em R$ 701.740,69 (Setecentos e um mil, setecentos e quarenta reais e sessenta e nove centavos)</t>
  </si>
  <si>
    <t>COMPOSIÇÃO DE PREÇOS PARA RECUPERAÇÃO E REFORMA DO 
ANTIGO PRÉDIO DO CCBI PARA ACOMODAÇÃO DO MUSEU DE HISTÓRIA
NATURAL E AULAS DE ANATOMINA DO CURSO DE MEDICINA.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</si>
</sst>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#,##0.00;[Red]#,##0.00"/>
    <numFmt numFmtId="166" formatCode="#,##0;[Red]#,##0"/>
    <numFmt numFmtId="167" formatCode="#.##0"/>
    <numFmt numFmtId="168" formatCode="##.##000"/>
    <numFmt numFmtId="169" formatCode="0.0%"/>
    <numFmt numFmtId="170" formatCode="_(* #,##0.00_);_(* \(#,##0.00\);_(* \-??_);_(@_)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ourie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FF0000"/>
      <name val="Arial"/>
      <family val="2"/>
    </font>
    <font>
      <sz val="11"/>
      <color theme="1" tint="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39" fontId="5" fillId="0" borderId="0"/>
    <xf numFmtId="0" fontId="2" fillId="0" borderId="0"/>
    <xf numFmtId="0" fontId="7" fillId="0" borderId="0"/>
    <xf numFmtId="9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6" fillId="0" borderId="0"/>
    <xf numFmtId="0" fontId="2" fillId="0" borderId="0"/>
    <xf numFmtId="164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/>
  </cellStyleXfs>
  <cellXfs count="528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0" xfId="0" applyFont="1" applyBorder="1"/>
    <xf numFmtId="0" fontId="0" fillId="2" borderId="1" xfId="0" applyFill="1" applyBorder="1"/>
    <xf numFmtId="0" fontId="1" fillId="2" borderId="2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2" fontId="0" fillId="0" borderId="0" xfId="0" applyNumberFormat="1" applyBorder="1"/>
    <xf numFmtId="0" fontId="0" fillId="0" borderId="0" xfId="0" applyFill="1" applyBorder="1"/>
    <xf numFmtId="0" fontId="1" fillId="0" borderId="0" xfId="0" applyFont="1" applyFill="1" applyBorder="1"/>
    <xf numFmtId="0" fontId="0" fillId="0" borderId="4" xfId="0" applyFill="1" applyBorder="1"/>
    <xf numFmtId="0" fontId="3" fillId="0" borderId="0" xfId="0" applyFont="1" applyBorder="1"/>
    <xf numFmtId="43" fontId="0" fillId="0" borderId="0" xfId="1" applyFont="1"/>
    <xf numFmtId="0" fontId="1" fillId="2" borderId="1" xfId="0" applyFont="1" applyFill="1" applyBorder="1"/>
    <xf numFmtId="43" fontId="0" fillId="0" borderId="0" xfId="1" applyFont="1" applyBorder="1"/>
    <xf numFmtId="43" fontId="1" fillId="2" borderId="2" xfId="1" applyFont="1" applyFill="1" applyBorder="1"/>
    <xf numFmtId="43" fontId="1" fillId="2" borderId="3" xfId="1" applyFont="1" applyFill="1" applyBorder="1"/>
    <xf numFmtId="43" fontId="0" fillId="0" borderId="5" xfId="1" applyFont="1" applyBorder="1"/>
    <xf numFmtId="43" fontId="1" fillId="2" borderId="7" xfId="1" applyFont="1" applyFill="1" applyBorder="1"/>
    <xf numFmtId="43" fontId="1" fillId="2" borderId="8" xfId="1" applyFont="1" applyFill="1" applyBorder="1"/>
    <xf numFmtId="43" fontId="0" fillId="2" borderId="2" xfId="1" applyFont="1" applyFill="1" applyBorder="1"/>
    <xf numFmtId="0" fontId="1" fillId="0" borderId="4" xfId="0" applyFont="1" applyFill="1" applyBorder="1"/>
    <xf numFmtId="0" fontId="3" fillId="0" borderId="4" xfId="0" applyFont="1" applyBorder="1"/>
    <xf numFmtId="43" fontId="0" fillId="0" borderId="0" xfId="1" applyFont="1" applyFill="1" applyBorder="1"/>
    <xf numFmtId="43" fontId="1" fillId="0" borderId="0" xfId="1" applyFont="1" applyFill="1" applyBorder="1"/>
    <xf numFmtId="43" fontId="3" fillId="0" borderId="0" xfId="1" applyFont="1" applyBorder="1"/>
    <xf numFmtId="0" fontId="0" fillId="0" borderId="0" xfId="0" applyFont="1" applyFill="1" applyBorder="1"/>
    <xf numFmtId="43" fontId="2" fillId="0" borderId="0" xfId="1" applyFont="1" applyFill="1" applyBorder="1"/>
    <xf numFmtId="43" fontId="3" fillId="0" borderId="0" xfId="1" applyFont="1" applyFill="1" applyBorder="1"/>
    <xf numFmtId="43" fontId="4" fillId="0" borderId="0" xfId="1" applyFont="1" applyFill="1" applyBorder="1"/>
    <xf numFmtId="43" fontId="3" fillId="0" borderId="5" xfId="1" applyFont="1" applyBorder="1"/>
    <xf numFmtId="43" fontId="0" fillId="0" borderId="5" xfId="1" applyFont="1" applyFill="1" applyBorder="1"/>
    <xf numFmtId="43" fontId="1" fillId="0" borderId="5" xfId="1" applyFont="1" applyFill="1" applyBorder="1"/>
    <xf numFmtId="43" fontId="0" fillId="0" borderId="0" xfId="1" applyFont="1" applyBorder="1" applyAlignment="1"/>
    <xf numFmtId="0" fontId="0" fillId="0" borderId="0" xfId="0"/>
    <xf numFmtId="0" fontId="0" fillId="0" borderId="0" xfId="0" applyBorder="1"/>
    <xf numFmtId="0" fontId="0" fillId="0" borderId="0" xfId="0" applyFill="1" applyBorder="1"/>
    <xf numFmtId="43" fontId="0" fillId="0" borderId="0" xfId="1" applyFont="1"/>
    <xf numFmtId="43" fontId="0" fillId="0" borderId="0" xfId="1" applyFont="1" applyBorder="1"/>
    <xf numFmtId="0" fontId="1" fillId="0" borderId="0" xfId="0" applyFont="1"/>
    <xf numFmtId="0" fontId="7" fillId="0" borderId="12" xfId="0" applyFont="1" applyFill="1" applyBorder="1" applyAlignment="1">
      <alignment wrapText="1"/>
    </xf>
    <xf numFmtId="0" fontId="7" fillId="0" borderId="12" xfId="0" applyFont="1" applyFill="1" applyBorder="1"/>
    <xf numFmtId="0" fontId="7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43" fontId="7" fillId="0" borderId="12" xfId="1" applyFont="1" applyFill="1" applyBorder="1" applyAlignment="1">
      <alignment vertical="center"/>
    </xf>
    <xf numFmtId="43" fontId="7" fillId="0" borderId="12" xfId="1" applyFont="1" applyFill="1" applyBorder="1"/>
    <xf numFmtId="49" fontId="7" fillId="0" borderId="12" xfId="1" applyNumberFormat="1" applyFont="1" applyFill="1" applyBorder="1"/>
    <xf numFmtId="49" fontId="7" fillId="0" borderId="12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43" fontId="7" fillId="0" borderId="0" xfId="1" applyFont="1" applyFill="1" applyBorder="1"/>
    <xf numFmtId="49" fontId="7" fillId="0" borderId="0" xfId="1" applyNumberFormat="1" applyFont="1" applyFill="1" applyBorder="1" applyAlignment="1">
      <alignment vertical="center"/>
    </xf>
    <xf numFmtId="39" fontId="13" fillId="0" borderId="0" xfId="2" applyFont="1" applyBorder="1" applyAlignment="1" applyProtection="1">
      <alignment horizontal="left"/>
    </xf>
    <xf numFmtId="39" fontId="13" fillId="0" borderId="0" xfId="2" applyFont="1" applyAlignment="1" applyProtection="1">
      <alignment horizontal="left"/>
    </xf>
    <xf numFmtId="39" fontId="13" fillId="3" borderId="0" xfId="2" applyFont="1" applyFill="1" applyAlignment="1">
      <alignment horizontal="center" wrapText="1"/>
    </xf>
    <xf numFmtId="39" fontId="13" fillId="0" borderId="0" xfId="2" applyFont="1" applyAlignment="1">
      <alignment horizontal="center" wrapText="1"/>
    </xf>
    <xf numFmtId="10" fontId="13" fillId="0" borderId="0" xfId="2" applyNumberFormat="1" applyFont="1" applyAlignment="1">
      <alignment horizontal="center" wrapText="1"/>
    </xf>
    <xf numFmtId="39" fontId="7" fillId="0" borderId="0" xfId="0" applyNumberFormat="1" applyFont="1" applyFill="1" applyBorder="1" applyAlignment="1" applyProtection="1"/>
    <xf numFmtId="39" fontId="13" fillId="0" borderId="0" xfId="2" quotePrefix="1" applyFont="1" applyBorder="1" applyAlignment="1" applyProtection="1">
      <alignment horizontal="left"/>
    </xf>
    <xf numFmtId="10" fontId="14" fillId="0" borderId="0" xfId="2" applyNumberFormat="1" applyFont="1" applyBorder="1" applyAlignment="1" applyProtection="1">
      <alignment horizontal="left"/>
    </xf>
    <xf numFmtId="39" fontId="14" fillId="0" borderId="0" xfId="2" applyFont="1" applyBorder="1" applyAlignment="1" applyProtection="1"/>
    <xf numFmtId="39" fontId="15" fillId="4" borderId="12" xfId="2" applyFont="1" applyFill="1" applyBorder="1" applyAlignment="1">
      <alignment horizontal="center" vertical="center"/>
    </xf>
    <xf numFmtId="39" fontId="15" fillId="4" borderId="9" xfId="2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10" fontId="15" fillId="0" borderId="0" xfId="2" applyNumberFormat="1" applyFont="1" applyFill="1" applyBorder="1" applyAlignment="1" applyProtection="1">
      <alignment horizontal="center" vertical="center" wrapText="1"/>
    </xf>
    <xf numFmtId="39" fontId="14" fillId="4" borderId="12" xfId="2" applyFont="1" applyFill="1" applyBorder="1" applyAlignment="1">
      <alignment horizontal="center" vertical="top" wrapText="1"/>
    </xf>
    <xf numFmtId="39" fontId="14" fillId="4" borderId="12" xfId="2" applyFont="1" applyFill="1" applyBorder="1" applyAlignment="1">
      <alignment vertical="top"/>
    </xf>
    <xf numFmtId="39" fontId="13" fillId="4" borderId="12" xfId="2" applyFont="1" applyFill="1" applyBorder="1" applyAlignment="1">
      <alignment horizontal="center" vertical="top"/>
    </xf>
    <xf numFmtId="4" fontId="14" fillId="4" borderId="12" xfId="2" applyNumberFormat="1" applyFont="1" applyFill="1" applyBorder="1" applyAlignment="1">
      <alignment horizontal="center" vertical="top"/>
    </xf>
    <xf numFmtId="4" fontId="14" fillId="4" borderId="9" xfId="2" applyNumberFormat="1" applyFont="1" applyFill="1" applyBorder="1" applyAlignment="1">
      <alignment horizontal="center" vertical="top"/>
    </xf>
    <xf numFmtId="10" fontId="18" fillId="4" borderId="12" xfId="12" applyNumberFormat="1" applyFont="1" applyFill="1" applyBorder="1" applyAlignment="1" applyProtection="1">
      <alignment vertical="center"/>
      <protection hidden="1"/>
    </xf>
    <xf numFmtId="10" fontId="0" fillId="0" borderId="0" xfId="11" applyNumberFormat="1" applyFont="1"/>
    <xf numFmtId="39" fontId="13" fillId="3" borderId="12" xfId="2" applyFont="1" applyFill="1" applyBorder="1" applyAlignment="1">
      <alignment horizontal="center" vertical="top" wrapText="1"/>
    </xf>
    <xf numFmtId="39" fontId="13" fillId="3" borderId="12" xfId="2" applyFont="1" applyFill="1" applyBorder="1" applyAlignment="1">
      <alignment vertical="top" wrapText="1"/>
    </xf>
    <xf numFmtId="39" fontId="13" fillId="3" borderId="12" xfId="2" applyFont="1" applyFill="1" applyBorder="1" applyAlignment="1">
      <alignment horizontal="center" vertical="top"/>
    </xf>
    <xf numFmtId="49" fontId="13" fillId="0" borderId="12" xfId="2" applyNumberFormat="1" applyFont="1" applyFill="1" applyBorder="1" applyAlignment="1">
      <alignment horizontal="center" vertical="top"/>
    </xf>
    <xf numFmtId="4" fontId="13" fillId="0" borderId="9" xfId="2" quotePrefix="1" applyNumberFormat="1" applyFont="1" applyFill="1" applyBorder="1" applyAlignment="1">
      <alignment horizontal="center" vertical="top"/>
    </xf>
    <xf numFmtId="10" fontId="15" fillId="0" borderId="12" xfId="12" applyNumberFormat="1" applyFont="1" applyBorder="1" applyAlignment="1" applyProtection="1">
      <alignment vertical="center"/>
      <protection hidden="1"/>
    </xf>
    <xf numFmtId="4" fontId="13" fillId="5" borderId="12" xfId="2" quotePrefix="1" applyNumberFormat="1" applyFont="1" applyFill="1" applyBorder="1" applyAlignment="1">
      <alignment horizontal="center" vertical="top"/>
    </xf>
    <xf numFmtId="4" fontId="13" fillId="0" borderId="12" xfId="2" quotePrefix="1" applyNumberFormat="1" applyFont="1" applyFill="1" applyBorder="1" applyAlignment="1">
      <alignment horizontal="center" vertical="top"/>
    </xf>
    <xf numFmtId="39" fontId="13" fillId="0" borderId="12" xfId="2" applyFont="1" applyFill="1" applyBorder="1" applyAlignment="1">
      <alignment horizontal="center" vertical="top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14" fillId="4" borderId="12" xfId="4" applyFont="1" applyFill="1" applyBorder="1" applyAlignment="1">
      <alignment vertical="top" wrapText="1"/>
    </xf>
    <xf numFmtId="0" fontId="14" fillId="4" borderId="12" xfId="4" applyFont="1" applyFill="1" applyBorder="1" applyAlignment="1">
      <alignment horizontal="center" vertical="top"/>
    </xf>
    <xf numFmtId="0" fontId="13" fillId="4" borderId="12" xfId="2" applyNumberFormat="1" applyFont="1" applyFill="1" applyBorder="1" applyAlignment="1">
      <alignment horizontal="center" vertical="top"/>
    </xf>
    <xf numFmtId="39" fontId="13" fillId="0" borderId="12" xfId="2" applyFont="1" applyFill="1" applyBorder="1" applyAlignment="1">
      <alignment horizontal="center" vertical="top" wrapText="1"/>
    </xf>
    <xf numFmtId="0" fontId="13" fillId="0" borderId="12" xfId="4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3" fillId="0" borderId="12" xfId="2" applyNumberFormat="1" applyFont="1" applyFill="1" applyBorder="1" applyAlignment="1">
      <alignment horizontal="center" vertical="top"/>
    </xf>
    <xf numFmtId="0" fontId="20" fillId="0" borderId="12" xfId="0" applyFont="1" applyBorder="1" applyAlignment="1">
      <alignment horizontal="left" wrapText="1"/>
    </xf>
    <xf numFmtId="0" fontId="20" fillId="0" borderId="12" xfId="0" applyFont="1" applyBorder="1" applyAlignment="1">
      <alignment horizontal="center" wrapText="1"/>
    </xf>
    <xf numFmtId="4" fontId="14" fillId="4" borderId="9" xfId="2" quotePrefix="1" applyNumberFormat="1" applyFont="1" applyFill="1" applyBorder="1" applyAlignment="1">
      <alignment horizontal="center" vertical="top"/>
    </xf>
    <xf numFmtId="4" fontId="14" fillId="4" borderId="12" xfId="2" quotePrefix="1" applyNumberFormat="1" applyFont="1" applyFill="1" applyBorder="1" applyAlignment="1">
      <alignment horizontal="center" vertical="top"/>
    </xf>
    <xf numFmtId="9" fontId="7" fillId="0" borderId="0" xfId="11" applyFont="1" applyFill="1" applyBorder="1" applyAlignment="1" applyProtection="1"/>
    <xf numFmtId="0" fontId="13" fillId="0" borderId="9" xfId="2" applyNumberFormat="1" applyFont="1" applyFill="1" applyBorder="1" applyAlignment="1">
      <alignment horizontal="center" vertical="top"/>
    </xf>
    <xf numFmtId="0" fontId="13" fillId="0" borderId="6" xfId="2" applyNumberFormat="1" applyFont="1" applyFill="1" applyBorder="1" applyAlignment="1">
      <alignment horizontal="center" vertical="top"/>
    </xf>
    <xf numFmtId="43" fontId="13" fillId="3" borderId="12" xfId="1" applyFont="1" applyFill="1" applyBorder="1" applyAlignment="1">
      <alignment horizontal="center" vertical="center"/>
    </xf>
    <xf numFmtId="0" fontId="20" fillId="0" borderId="12" xfId="0" applyFont="1" applyBorder="1" applyAlignment="1">
      <alignment wrapText="1"/>
    </xf>
    <xf numFmtId="0" fontId="18" fillId="4" borderId="12" xfId="2" applyNumberFormat="1" applyFont="1" applyFill="1" applyBorder="1" applyAlignment="1">
      <alignment vertical="top" wrapText="1"/>
    </xf>
    <xf numFmtId="0" fontId="18" fillId="4" borderId="12" xfId="2" applyNumberFormat="1" applyFont="1" applyFill="1" applyBorder="1" applyAlignment="1">
      <alignment horizontal="center" vertical="top"/>
    </xf>
    <xf numFmtId="0" fontId="13" fillId="0" borderId="12" xfId="2" applyNumberFormat="1" applyFont="1" applyFill="1" applyBorder="1" applyAlignment="1">
      <alignment horizontal="left" vertical="top" wrapText="1"/>
    </xf>
    <xf numFmtId="49" fontId="15" fillId="0" borderId="9" xfId="2" applyNumberFormat="1" applyFont="1" applyFill="1" applyBorder="1" applyAlignment="1">
      <alignment horizontal="center" vertical="top"/>
    </xf>
    <xf numFmtId="0" fontId="15" fillId="0" borderId="12" xfId="2" applyNumberFormat="1" applyFont="1" applyFill="1" applyBorder="1" applyAlignment="1">
      <alignment horizontal="left" vertical="top" wrapText="1"/>
    </xf>
    <xf numFmtId="0" fontId="15" fillId="0" borderId="12" xfId="2" applyNumberFormat="1" applyFont="1" applyFill="1" applyBorder="1" applyAlignment="1">
      <alignment horizontal="center" vertical="top" wrapText="1"/>
    </xf>
    <xf numFmtId="39" fontId="15" fillId="3" borderId="0" xfId="2" applyFont="1" applyFill="1" applyBorder="1" applyAlignment="1">
      <alignment horizontal="center" vertical="center"/>
    </xf>
    <xf numFmtId="39" fontId="15" fillId="3" borderId="0" xfId="2" applyFont="1" applyFill="1" applyBorder="1" applyAlignment="1">
      <alignment horizontal="center" vertical="center" wrapText="1"/>
    </xf>
    <xf numFmtId="39" fontId="15" fillId="0" borderId="0" xfId="2" applyFont="1" applyFill="1" applyBorder="1" applyAlignment="1" applyProtection="1">
      <alignment horizontal="center" vertical="center" wrapText="1"/>
    </xf>
    <xf numFmtId="0" fontId="20" fillId="0" borderId="15" xfId="0" applyFont="1" applyBorder="1" applyAlignment="1">
      <alignment horizontal="left" wrapText="1"/>
    </xf>
    <xf numFmtId="0" fontId="20" fillId="0" borderId="15" xfId="0" applyFont="1" applyBorder="1" applyAlignment="1">
      <alignment horizontal="center"/>
    </xf>
    <xf numFmtId="39" fontId="14" fillId="3" borderId="0" xfId="2" applyFont="1" applyFill="1" applyBorder="1" applyAlignment="1">
      <alignment horizontal="center" vertical="top" wrapText="1"/>
    </xf>
    <xf numFmtId="39" fontId="14" fillId="3" borderId="0" xfId="2" applyFont="1" applyFill="1" applyBorder="1" applyAlignment="1">
      <alignment vertical="top"/>
    </xf>
    <xf numFmtId="4" fontId="14" fillId="3" borderId="0" xfId="2" applyNumberFormat="1" applyFont="1" applyFill="1" applyBorder="1" applyAlignment="1">
      <alignment horizontal="center" vertical="top"/>
    </xf>
    <xf numFmtId="39" fontId="13" fillId="3" borderId="0" xfId="2" applyFont="1" applyFill="1" applyBorder="1" applyAlignment="1">
      <alignment horizontal="left" vertical="top"/>
    </xf>
    <xf numFmtId="4" fontId="13" fillId="3" borderId="0" xfId="2" quotePrefix="1" applyNumberFormat="1" applyFont="1" applyFill="1" applyBorder="1" applyAlignment="1">
      <alignment horizontal="left" vertical="top"/>
    </xf>
    <xf numFmtId="39" fontId="13" fillId="0" borderId="0" xfId="2" applyFont="1" applyFill="1" applyBorder="1" applyAlignment="1">
      <alignment horizontal="center" vertical="top"/>
    </xf>
    <xf numFmtId="0" fontId="20" fillId="0" borderId="0" xfId="0" applyFont="1" applyBorder="1" applyAlignment="1">
      <alignment vertical="center"/>
    </xf>
    <xf numFmtId="4" fontId="13" fillId="0" borderId="0" xfId="2" quotePrefix="1" applyNumberFormat="1" applyFont="1" applyFill="1" applyBorder="1" applyAlignment="1">
      <alignment horizontal="center" vertical="top"/>
    </xf>
    <xf numFmtId="49" fontId="13" fillId="0" borderId="0" xfId="2" applyNumberFormat="1" applyFont="1" applyFill="1" applyBorder="1" applyAlignment="1">
      <alignment horizontal="left" vertical="top"/>
    </xf>
    <xf numFmtId="4" fontId="15" fillId="0" borderId="0" xfId="2" applyNumberFormat="1" applyFont="1" applyFill="1" applyBorder="1" applyAlignment="1">
      <alignment horizontal="left" vertical="top"/>
    </xf>
    <xf numFmtId="4" fontId="20" fillId="3" borderId="0" xfId="2" applyNumberFormat="1" applyFont="1" applyFill="1" applyBorder="1" applyAlignment="1">
      <alignment horizontal="center" vertical="top"/>
    </xf>
    <xf numFmtId="39" fontId="14" fillId="0" borderId="0" xfId="2" applyFont="1" applyFill="1" applyBorder="1" applyAlignment="1">
      <alignment horizontal="center" vertical="top"/>
    </xf>
    <xf numFmtId="0" fontId="13" fillId="3" borderId="0" xfId="2" applyNumberFormat="1" applyFont="1" applyFill="1" applyBorder="1" applyAlignment="1">
      <alignment vertical="top" wrapText="1"/>
    </xf>
    <xf numFmtId="4" fontId="13" fillId="0" borderId="0" xfId="2" applyNumberFormat="1" applyFont="1" applyFill="1" applyBorder="1" applyAlignment="1">
      <alignment horizontal="left" vertical="top"/>
    </xf>
    <xf numFmtId="4" fontId="20" fillId="0" borderId="0" xfId="2" applyNumberFormat="1" applyFont="1" applyFill="1" applyBorder="1" applyAlignment="1">
      <alignment horizontal="center" vertical="top"/>
    </xf>
    <xf numFmtId="39" fontId="13" fillId="0" borderId="0" xfId="2" quotePrefix="1" applyFont="1" applyFill="1" applyBorder="1" applyAlignment="1">
      <alignment horizontal="center" vertical="top"/>
    </xf>
    <xf numFmtId="0" fontId="20" fillId="3" borderId="12" xfId="0" applyFont="1" applyFill="1" applyBorder="1" applyAlignment="1">
      <alignment horizontal="left" wrapText="1"/>
    </xf>
    <xf numFmtId="39" fontId="13" fillId="3" borderId="0" xfId="2" applyFont="1" applyFill="1" applyBorder="1" applyAlignment="1">
      <alignment vertical="top"/>
    </xf>
    <xf numFmtId="49" fontId="15" fillId="0" borderId="0" xfId="2" applyNumberFormat="1" applyFont="1" applyFill="1" applyBorder="1" applyAlignment="1">
      <alignment horizontal="left" vertical="top"/>
    </xf>
    <xf numFmtId="4" fontId="20" fillId="0" borderId="0" xfId="2" quotePrefix="1" applyNumberFormat="1" applyFont="1" applyFill="1" applyBorder="1" applyAlignment="1">
      <alignment horizontal="center" vertical="top"/>
    </xf>
    <xf numFmtId="4" fontId="0" fillId="3" borderId="0" xfId="0" applyNumberFormat="1" applyFill="1" applyBorder="1"/>
    <xf numFmtId="43" fontId="0" fillId="3" borderId="0" xfId="1" applyFont="1" applyFill="1" applyBorder="1"/>
    <xf numFmtId="0" fontId="0" fillId="3" borderId="0" xfId="0" applyFill="1" applyBorder="1"/>
    <xf numFmtId="39" fontId="14" fillId="3" borderId="0" xfId="2" applyFont="1" applyFill="1" applyBorder="1" applyAlignment="1" applyProtection="1">
      <alignment horizontal="left"/>
    </xf>
    <xf numFmtId="39" fontId="13" fillId="3" borderId="0" xfId="2" applyFont="1" applyFill="1" applyBorder="1" applyAlignment="1">
      <alignment horizontal="center" vertical="top"/>
    </xf>
    <xf numFmtId="4" fontId="13" fillId="3" borderId="0" xfId="2" quotePrefix="1" applyNumberFormat="1" applyFont="1" applyFill="1" applyBorder="1" applyAlignment="1">
      <alignment horizontal="center" vertical="top"/>
    </xf>
    <xf numFmtId="49" fontId="15" fillId="3" borderId="0" xfId="2" applyNumberFormat="1" applyFont="1" applyFill="1" applyBorder="1" applyAlignment="1">
      <alignment horizontal="left" vertical="top"/>
    </xf>
    <xf numFmtId="10" fontId="15" fillId="3" borderId="0" xfId="11" applyNumberFormat="1" applyFont="1" applyFill="1" applyBorder="1" applyAlignment="1">
      <alignment horizontal="left" vertical="top"/>
    </xf>
    <xf numFmtId="4" fontId="20" fillId="3" borderId="0" xfId="2" quotePrefix="1" applyNumberFormat="1" applyFont="1" applyFill="1" applyBorder="1" applyAlignment="1">
      <alignment horizontal="center" vertical="top"/>
    </xf>
    <xf numFmtId="49" fontId="13" fillId="3" borderId="0" xfId="2" applyNumberFormat="1" applyFont="1" applyFill="1" applyBorder="1" applyAlignment="1">
      <alignment horizontal="left" vertical="top"/>
    </xf>
    <xf numFmtId="10" fontId="13" fillId="3" borderId="0" xfId="2" applyNumberFormat="1" applyFont="1" applyFill="1" applyBorder="1" applyAlignment="1">
      <alignment horizontal="left" vertical="top"/>
    </xf>
    <xf numFmtId="0" fontId="21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center" vertical="center"/>
    </xf>
    <xf numFmtId="39" fontId="13" fillId="0" borderId="9" xfId="2" applyFont="1" applyFill="1" applyBorder="1" applyAlignment="1">
      <alignment horizontal="center" vertical="top"/>
    </xf>
    <xf numFmtId="0" fontId="20" fillId="0" borderId="11" xfId="0" applyFont="1" applyBorder="1" applyAlignment="1">
      <alignment horizontal="center" vertical="center"/>
    </xf>
    <xf numFmtId="4" fontId="0" fillId="0" borderId="0" xfId="0" applyNumberFormat="1"/>
    <xf numFmtId="49" fontId="15" fillId="4" borderId="12" xfId="2" applyNumberFormat="1" applyFont="1" applyFill="1" applyBorder="1" applyAlignment="1">
      <alignment horizontal="center" vertical="top"/>
    </xf>
    <xf numFmtId="10" fontId="0" fillId="0" borderId="0" xfId="0" applyNumberFormat="1"/>
    <xf numFmtId="4" fontId="14" fillId="4" borderId="16" xfId="2" quotePrefix="1" applyNumberFormat="1" applyFont="1" applyFill="1" applyBorder="1" applyAlignment="1">
      <alignment horizontal="center" vertical="top"/>
    </xf>
    <xf numFmtId="4" fontId="14" fillId="4" borderId="20" xfId="2" quotePrefix="1" applyNumberFormat="1" applyFont="1" applyFill="1" applyBorder="1" applyAlignment="1">
      <alignment vertical="top"/>
    </xf>
    <xf numFmtId="4" fontId="14" fillId="4" borderId="21" xfId="2" quotePrefix="1" applyNumberFormat="1" applyFont="1" applyFill="1" applyBorder="1" applyAlignment="1">
      <alignment horizontal="center" vertical="top"/>
    </xf>
    <xf numFmtId="4" fontId="14" fillId="4" borderId="24" xfId="2" quotePrefix="1" applyNumberFormat="1" applyFont="1" applyFill="1" applyBorder="1" applyAlignment="1">
      <alignment horizontal="center" vertical="top"/>
    </xf>
    <xf numFmtId="4" fontId="14" fillId="4" borderId="28" xfId="2" quotePrefix="1" applyNumberFormat="1" applyFont="1" applyFill="1" applyBorder="1" applyAlignment="1">
      <alignment vertical="top"/>
    </xf>
    <xf numFmtId="0" fontId="22" fillId="0" borderId="4" xfId="0" applyFont="1" applyBorder="1" applyAlignment="1">
      <alignment horizontal="center" vertical="top"/>
    </xf>
    <xf numFmtId="0" fontId="22" fillId="3" borderId="0" xfId="0" applyFont="1" applyFill="1" applyBorder="1" applyAlignment="1">
      <alignment horizontal="right" vertical="top"/>
    </xf>
    <xf numFmtId="49" fontId="23" fillId="3" borderId="0" xfId="0" applyNumberFormat="1" applyFont="1" applyFill="1" applyBorder="1" applyAlignment="1">
      <alignment horizontal="center" vertical="top"/>
    </xf>
    <xf numFmtId="2" fontId="23" fillId="3" borderId="0" xfId="0" applyNumberFormat="1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2" fillId="3" borderId="0" xfId="0" applyFont="1" applyFill="1" applyBorder="1" applyAlignment="1">
      <alignment horizontal="left" vertical="top"/>
    </xf>
    <xf numFmtId="0" fontId="24" fillId="0" borderId="0" xfId="0" applyFont="1" applyBorder="1" applyAlignment="1">
      <alignment horizontal="center" vertical="top"/>
    </xf>
    <xf numFmtId="0" fontId="16" fillId="3" borderId="0" xfId="0" applyFont="1" applyFill="1" applyBorder="1" applyAlignment="1">
      <alignment horizontal="left" vertical="center" wrapText="1"/>
    </xf>
    <xf numFmtId="166" fontId="25" fillId="3" borderId="0" xfId="0" applyNumberFormat="1" applyFont="1" applyFill="1" applyBorder="1" applyAlignment="1">
      <alignment horizontal="center" vertical="center"/>
    </xf>
    <xf numFmtId="165" fontId="25" fillId="3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center"/>
    </xf>
    <xf numFmtId="0" fontId="0" fillId="0" borderId="7" xfId="0" applyBorder="1"/>
    <xf numFmtId="0" fontId="24" fillId="3" borderId="0" xfId="0" applyFont="1" applyFill="1" applyBorder="1"/>
    <xf numFmtId="49" fontId="26" fillId="3" borderId="0" xfId="0" applyNumberFormat="1" applyFont="1" applyFill="1" applyBorder="1" applyAlignment="1">
      <alignment horizontal="center"/>
    </xf>
    <xf numFmtId="167" fontId="26" fillId="3" borderId="0" xfId="0" applyNumberFormat="1" applyFont="1" applyFill="1" applyBorder="1" applyAlignment="1">
      <alignment horizontal="center"/>
    </xf>
    <xf numFmtId="10" fontId="0" fillId="0" borderId="0" xfId="0" applyNumberFormat="1" applyBorder="1"/>
    <xf numFmtId="0" fontId="27" fillId="3" borderId="0" xfId="0" applyFont="1" applyFill="1" applyAlignment="1">
      <alignment horizontal="center" vertical="center"/>
    </xf>
    <xf numFmtId="0" fontId="20" fillId="0" borderId="0" xfId="0" applyFont="1" applyBorder="1"/>
    <xf numFmtId="0" fontId="28" fillId="3" borderId="0" xfId="0" applyFont="1" applyFill="1" applyAlignment="1">
      <alignment horizontal="center" vertical="center"/>
    </xf>
    <xf numFmtId="4" fontId="0" fillId="0" borderId="0" xfId="0" applyNumberFormat="1" applyBorder="1"/>
    <xf numFmtId="0" fontId="29" fillId="0" borderId="0" xfId="0" applyFont="1" applyAlignment="1">
      <alignment horizontal="center"/>
    </xf>
    <xf numFmtId="49" fontId="13" fillId="0" borderId="0" xfId="2" applyNumberFormat="1" applyFont="1" applyAlignment="1" applyProtection="1">
      <alignment horizontal="left"/>
    </xf>
    <xf numFmtId="49" fontId="14" fillId="0" borderId="0" xfId="2" applyNumberFormat="1" applyFont="1" applyBorder="1" applyAlignment="1" applyProtection="1"/>
    <xf numFmtId="49" fontId="15" fillId="4" borderId="12" xfId="2" applyNumberFormat="1" applyFont="1" applyFill="1" applyBorder="1" applyAlignment="1">
      <alignment horizontal="center" vertical="center"/>
    </xf>
    <xf numFmtId="49" fontId="13" fillId="4" borderId="12" xfId="2" applyNumberFormat="1" applyFont="1" applyFill="1" applyBorder="1" applyAlignment="1">
      <alignment horizontal="left" vertical="top"/>
    </xf>
    <xf numFmtId="49" fontId="13" fillId="3" borderId="12" xfId="1" applyNumberFormat="1" applyFont="1" applyFill="1" applyBorder="1" applyAlignment="1">
      <alignment horizontal="center" vertical="top"/>
    </xf>
    <xf numFmtId="49" fontId="13" fillId="3" borderId="12" xfId="2" applyNumberFormat="1" applyFont="1" applyFill="1" applyBorder="1" applyAlignment="1">
      <alignment horizontal="center" vertical="top"/>
    </xf>
    <xf numFmtId="49" fontId="13" fillId="4" borderId="12" xfId="4" applyNumberFormat="1" applyFont="1" applyFill="1" applyBorder="1" applyAlignment="1">
      <alignment horizontal="center" vertical="top"/>
    </xf>
    <xf numFmtId="49" fontId="13" fillId="0" borderId="12" xfId="4" applyNumberFormat="1" applyFont="1" applyFill="1" applyBorder="1" applyAlignment="1">
      <alignment horizontal="center" vertical="top"/>
    </xf>
    <xf numFmtId="49" fontId="13" fillId="6" borderId="12" xfId="8" applyNumberFormat="1" applyFont="1" applyFill="1" applyBorder="1" applyAlignment="1">
      <alignment horizontal="center" vertical="top" wrapText="1"/>
    </xf>
    <xf numFmtId="49" fontId="20" fillId="0" borderId="12" xfId="0" applyNumberFormat="1" applyFont="1" applyBorder="1" applyAlignment="1">
      <alignment horizontal="center"/>
    </xf>
    <xf numFmtId="49" fontId="15" fillId="0" borderId="12" xfId="2" applyNumberFormat="1" applyFont="1" applyFill="1" applyBorder="1" applyAlignment="1">
      <alignment horizontal="center" vertical="top" wrapText="1"/>
    </xf>
    <xf numFmtId="49" fontId="20" fillId="0" borderId="11" xfId="0" applyNumberFormat="1" applyFont="1" applyBorder="1" applyAlignment="1">
      <alignment horizontal="center"/>
    </xf>
    <xf numFmtId="49" fontId="20" fillId="0" borderId="12" xfId="0" applyNumberFormat="1" applyFont="1" applyBorder="1" applyAlignment="1">
      <alignment horizontal="center" wrapText="1"/>
    </xf>
    <xf numFmtId="49" fontId="16" fillId="3" borderId="0" xfId="0" applyNumberFormat="1" applyFont="1" applyFill="1" applyBorder="1" applyAlignment="1">
      <alignment horizontal="right" vertical="center"/>
    </xf>
    <xf numFmtId="49" fontId="20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/>
    <xf numFmtId="43" fontId="13" fillId="0" borderId="0" xfId="1" applyFont="1" applyAlignment="1">
      <alignment horizontal="left" wrapText="1"/>
    </xf>
    <xf numFmtId="43" fontId="13" fillId="0" borderId="0" xfId="1" applyFont="1" applyAlignment="1">
      <alignment horizontal="center" wrapText="1"/>
    </xf>
    <xf numFmtId="43" fontId="14" fillId="0" borderId="0" xfId="1" applyFont="1" applyBorder="1" applyAlignment="1" applyProtection="1"/>
    <xf numFmtId="43" fontId="15" fillId="4" borderId="12" xfId="1" applyFont="1" applyFill="1" applyBorder="1" applyAlignment="1">
      <alignment horizontal="center" vertical="center"/>
    </xf>
    <xf numFmtId="43" fontId="13" fillId="4" borderId="12" xfId="1" quotePrefix="1" applyFont="1" applyFill="1" applyBorder="1" applyAlignment="1">
      <alignment horizontal="center" vertical="top"/>
    </xf>
    <xf numFmtId="43" fontId="13" fillId="0" borderId="12" xfId="1" applyFont="1" applyFill="1" applyBorder="1" applyAlignment="1">
      <alignment horizontal="center" vertical="top"/>
    </xf>
    <xf numFmtId="43" fontId="15" fillId="0" borderId="12" xfId="1" applyFont="1" applyFill="1" applyBorder="1" applyAlignment="1">
      <alignment horizontal="center" vertical="top"/>
    </xf>
    <xf numFmtId="43" fontId="13" fillId="4" borderId="12" xfId="1" applyFont="1" applyFill="1" applyBorder="1" applyAlignment="1">
      <alignment horizontal="center" vertical="top"/>
    </xf>
    <xf numFmtId="43" fontId="20" fillId="0" borderId="15" xfId="1" applyFont="1" applyBorder="1" applyAlignment="1">
      <alignment horizontal="center" wrapText="1"/>
    </xf>
    <xf numFmtId="43" fontId="13" fillId="0" borderId="12" xfId="1" applyFont="1" applyBorder="1" applyAlignment="1">
      <alignment horizontal="center" vertical="top"/>
    </xf>
    <xf numFmtId="43" fontId="13" fillId="0" borderId="15" xfId="1" applyFont="1" applyFill="1" applyBorder="1" applyAlignment="1">
      <alignment horizontal="center" vertical="top"/>
    </xf>
    <xf numFmtId="43" fontId="13" fillId="3" borderId="12" xfId="1" applyFont="1" applyFill="1" applyBorder="1" applyAlignment="1">
      <alignment horizontal="center" vertical="top"/>
    </xf>
    <xf numFmtId="43" fontId="22" fillId="3" borderId="0" xfId="1" applyFont="1" applyFill="1" applyBorder="1" applyAlignment="1">
      <alignment vertical="top"/>
    </xf>
    <xf numFmtId="43" fontId="24" fillId="3" borderId="0" xfId="1" applyFont="1" applyFill="1" applyBorder="1" applyAlignment="1">
      <alignment vertical="top"/>
    </xf>
    <xf numFmtId="43" fontId="24" fillId="3" borderId="0" xfId="1" applyFont="1" applyFill="1" applyBorder="1"/>
    <xf numFmtId="43" fontId="20" fillId="3" borderId="0" xfId="1" applyFont="1" applyFill="1" applyBorder="1"/>
    <xf numFmtId="43" fontId="20" fillId="0" borderId="0" xfId="1" applyFont="1" applyBorder="1"/>
    <xf numFmtId="43" fontId="15" fillId="4" borderId="12" xfId="1" applyFont="1" applyFill="1" applyBorder="1" applyAlignment="1">
      <alignment horizontal="center" vertical="center" wrapText="1"/>
    </xf>
    <xf numFmtId="43" fontId="14" fillId="4" borderId="12" xfId="1" applyFont="1" applyFill="1" applyBorder="1" applyAlignment="1">
      <alignment horizontal="center" vertical="top"/>
    </xf>
    <xf numFmtId="43" fontId="20" fillId="3" borderId="12" xfId="1" applyFont="1" applyFill="1" applyBorder="1" applyAlignment="1">
      <alignment horizontal="center" vertical="top"/>
    </xf>
    <xf numFmtId="43" fontId="13" fillId="3" borderId="12" xfId="1" quotePrefix="1" applyFont="1" applyFill="1" applyBorder="1" applyAlignment="1">
      <alignment horizontal="center" vertical="top"/>
    </xf>
    <xf numFmtId="43" fontId="22" fillId="0" borderId="0" xfId="1" applyFont="1" applyBorder="1" applyAlignment="1">
      <alignment vertical="top"/>
    </xf>
    <xf numFmtId="43" fontId="24" fillId="0" borderId="0" xfId="1" applyFont="1" applyBorder="1" applyAlignment="1">
      <alignment vertical="top"/>
    </xf>
    <xf numFmtId="43" fontId="24" fillId="0" borderId="0" xfId="1" applyFont="1" applyBorder="1"/>
    <xf numFmtId="0" fontId="12" fillId="0" borderId="0" xfId="0" applyFont="1"/>
    <xf numFmtId="39" fontId="30" fillId="0" borderId="0" xfId="2" quotePrefix="1" applyFont="1" applyBorder="1" applyAlignment="1" applyProtection="1">
      <alignment horizontal="left"/>
    </xf>
    <xf numFmtId="39" fontId="30" fillId="0" borderId="0" xfId="2" applyFont="1" applyAlignment="1" applyProtection="1">
      <alignment horizontal="left"/>
    </xf>
    <xf numFmtId="39" fontId="30" fillId="0" borderId="0" xfId="2" applyFont="1" applyAlignment="1">
      <alignment horizontal="center" wrapText="1"/>
    </xf>
    <xf numFmtId="49" fontId="13" fillId="0" borderId="12" xfId="4" applyNumberFormat="1" applyFont="1" applyBorder="1" applyAlignment="1">
      <alignment horizontal="center" vertical="top" wrapText="1"/>
    </xf>
    <xf numFmtId="10" fontId="0" fillId="0" borderId="0" xfId="11" applyNumberFormat="1" applyFont="1" applyFill="1"/>
    <xf numFmtId="39" fontId="3" fillId="0" borderId="0" xfId="3" applyNumberFormat="1" applyFont="1" applyFill="1" applyBorder="1" applyAlignment="1" applyProtection="1">
      <alignment horizontal="left" vertical="center"/>
      <protection hidden="1"/>
    </xf>
    <xf numFmtId="0" fontId="9" fillId="0" borderId="0" xfId="3" applyFont="1" applyFill="1" applyBorder="1" applyAlignment="1" applyProtection="1">
      <alignment horizontal="center" vertical="center"/>
      <protection hidden="1"/>
    </xf>
    <xf numFmtId="0" fontId="9" fillId="0" borderId="0" xfId="3" applyFont="1" applyFill="1" applyBorder="1" applyAlignment="1" applyProtection="1">
      <alignment vertical="center"/>
      <protection hidden="1"/>
    </xf>
    <xf numFmtId="164" fontId="9" fillId="0" borderId="0" xfId="6" applyFont="1" applyFill="1" applyBorder="1" applyAlignment="1" applyProtection="1">
      <alignment vertical="center"/>
      <protection hidden="1"/>
    </xf>
    <xf numFmtId="4" fontId="9" fillId="0" borderId="0" xfId="6" applyNumberFormat="1" applyFont="1" applyFill="1" applyBorder="1" applyAlignment="1" applyProtection="1">
      <alignment vertical="center"/>
      <protection hidden="1"/>
    </xf>
    <xf numFmtId="0" fontId="9" fillId="0" borderId="0" xfId="3" applyFont="1" applyFill="1" applyBorder="1" applyAlignment="1" applyProtection="1">
      <alignment horizontal="right" vertical="center"/>
      <protection hidden="1"/>
    </xf>
    <xf numFmtId="10" fontId="9" fillId="0" borderId="0" xfId="11" applyNumberFormat="1" applyFont="1" applyFill="1" applyBorder="1" applyAlignment="1" applyProtection="1">
      <alignment vertical="center"/>
      <protection hidden="1"/>
    </xf>
    <xf numFmtId="0" fontId="2" fillId="0" borderId="0" xfId="3" applyFont="1" applyFill="1" applyBorder="1" applyAlignment="1" applyProtection="1">
      <alignment vertical="center"/>
      <protection hidden="1"/>
    </xf>
    <xf numFmtId="0" fontId="31" fillId="0" borderId="0" xfId="3" applyFont="1" applyFill="1" applyBorder="1" applyAlignment="1" applyProtection="1">
      <alignment vertical="center"/>
      <protection hidden="1"/>
    </xf>
    <xf numFmtId="0" fontId="33" fillId="0" borderId="0" xfId="3" applyFont="1" applyFill="1" applyBorder="1" applyAlignment="1" applyProtection="1">
      <alignment vertical="center"/>
      <protection hidden="1"/>
    </xf>
    <xf numFmtId="0" fontId="34" fillId="0" borderId="0" xfId="3" applyFont="1" applyFill="1" applyBorder="1" applyAlignment="1" applyProtection="1">
      <alignment vertical="center"/>
      <protection hidden="1"/>
    </xf>
    <xf numFmtId="0" fontId="35" fillId="0" borderId="0" xfId="3" applyFont="1" applyFill="1" applyBorder="1" applyAlignment="1" applyProtection="1">
      <alignment vertical="center"/>
      <protection hidden="1"/>
    </xf>
    <xf numFmtId="39" fontId="4" fillId="7" borderId="0" xfId="0" applyNumberFormat="1" applyFont="1" applyFill="1" applyAlignment="1" applyProtection="1">
      <alignment vertical="center"/>
      <protection hidden="1"/>
    </xf>
    <xf numFmtId="39" fontId="36" fillId="7" borderId="0" xfId="0" applyNumberFormat="1" applyFont="1" applyFill="1" applyBorder="1" applyAlignment="1" applyProtection="1">
      <alignment horizontal="center" vertical="center"/>
      <protection hidden="1"/>
    </xf>
    <xf numFmtId="39" fontId="4" fillId="7" borderId="30" xfId="0" applyNumberFormat="1" applyFont="1" applyFill="1" applyBorder="1" applyAlignment="1" applyProtection="1">
      <alignment horizontal="center" vertical="center"/>
      <protection hidden="1"/>
    </xf>
    <xf numFmtId="39" fontId="4" fillId="7" borderId="31" xfId="0" applyNumberFormat="1" applyFont="1" applyFill="1" applyBorder="1" applyAlignment="1" applyProtection="1">
      <alignment horizontal="center" vertical="center" wrapText="1"/>
      <protection hidden="1"/>
    </xf>
    <xf numFmtId="9" fontId="4" fillId="7" borderId="31" xfId="0" applyNumberFormat="1" applyFont="1" applyFill="1" applyBorder="1" applyAlignment="1" applyProtection="1">
      <alignment horizontal="center" vertical="center"/>
      <protection hidden="1"/>
    </xf>
    <xf numFmtId="43" fontId="4" fillId="7" borderId="28" xfId="1" applyFont="1" applyFill="1" applyBorder="1" applyAlignment="1" applyProtection="1">
      <alignment horizontal="center" vertical="center"/>
      <protection hidden="1"/>
    </xf>
    <xf numFmtId="9" fontId="4" fillId="7" borderId="27" xfId="0" applyNumberFormat="1" applyFont="1" applyFill="1" applyBorder="1" applyAlignment="1" applyProtection="1">
      <alignment horizontal="center" vertical="center"/>
      <protection hidden="1"/>
    </xf>
    <xf numFmtId="43" fontId="4" fillId="7" borderId="32" xfId="1" applyFont="1" applyFill="1" applyBorder="1" applyAlignment="1" applyProtection="1">
      <alignment horizontal="center" vertical="center"/>
      <protection hidden="1"/>
    </xf>
    <xf numFmtId="168" fontId="4" fillId="7" borderId="31" xfId="0" applyNumberFormat="1" applyFont="1" applyFill="1" applyBorder="1" applyAlignment="1" applyProtection="1">
      <alignment horizontal="center" vertical="center"/>
      <protection hidden="1"/>
    </xf>
    <xf numFmtId="168" fontId="4" fillId="7" borderId="32" xfId="0" applyNumberFormat="1" applyFont="1" applyFill="1" applyBorder="1" applyAlignment="1" applyProtection="1">
      <alignment horizontal="center" vertical="center"/>
      <protection hidden="1"/>
    </xf>
    <xf numFmtId="9" fontId="36" fillId="7" borderId="0" xfId="0" applyNumberFormat="1" applyFont="1" applyFill="1" applyBorder="1" applyAlignment="1" applyProtection="1">
      <alignment horizontal="center" vertical="center"/>
      <protection hidden="1"/>
    </xf>
    <xf numFmtId="39" fontId="4" fillId="0" borderId="33" xfId="0" applyNumberFormat="1" applyFont="1" applyFill="1" applyBorder="1" applyAlignment="1" applyProtection="1">
      <alignment horizontal="center" vertical="center"/>
      <protection hidden="1"/>
    </xf>
    <xf numFmtId="39" fontId="4" fillId="0" borderId="7" xfId="0" applyNumberFormat="1" applyFont="1" applyFill="1" applyBorder="1" applyAlignment="1" applyProtection="1">
      <alignment horizontal="center" vertical="center"/>
      <protection hidden="1"/>
    </xf>
    <xf numFmtId="9" fontId="4" fillId="0" borderId="7" xfId="0" applyNumberFormat="1" applyFont="1" applyFill="1" applyBorder="1" applyAlignment="1" applyProtection="1">
      <alignment horizontal="center" vertical="center"/>
      <protection hidden="1"/>
    </xf>
    <xf numFmtId="39" fontId="4" fillId="0" borderId="34" xfId="0" applyNumberFormat="1" applyFont="1" applyFill="1" applyBorder="1" applyAlignment="1" applyProtection="1">
      <alignment horizontal="center" vertical="center"/>
      <protection hidden="1"/>
    </xf>
    <xf numFmtId="39" fontId="3" fillId="0" borderId="33" xfId="0" applyNumberFormat="1" applyFont="1" applyFill="1" applyBorder="1" applyAlignment="1" applyProtection="1">
      <alignment horizontal="center" vertical="center"/>
      <protection hidden="1"/>
    </xf>
    <xf numFmtId="43" fontId="3" fillId="0" borderId="7" xfId="1" applyFont="1" applyFill="1" applyBorder="1" applyAlignment="1" applyProtection="1">
      <alignment horizontal="center" vertical="center"/>
      <protection hidden="1"/>
    </xf>
    <xf numFmtId="9" fontId="3" fillId="0" borderId="7" xfId="0" applyNumberFormat="1" applyFont="1" applyFill="1" applyBorder="1" applyAlignment="1" applyProtection="1">
      <alignment horizontal="center" vertical="center"/>
      <protection hidden="1"/>
    </xf>
    <xf numFmtId="4" fontId="3" fillId="0" borderId="7" xfId="0" applyNumberFormat="1" applyFont="1" applyFill="1" applyBorder="1" applyAlignment="1" applyProtection="1">
      <alignment horizontal="center" vertical="center"/>
      <protection hidden="1"/>
    </xf>
    <xf numFmtId="39" fontId="3" fillId="0" borderId="0" xfId="0" applyNumberFormat="1" applyFont="1" applyFill="1" applyBorder="1" applyAlignment="1" applyProtection="1">
      <alignment vertical="center"/>
      <protection hidden="1"/>
    </xf>
    <xf numFmtId="9" fontId="31" fillId="0" borderId="0" xfId="0" applyNumberFormat="1" applyFont="1" applyFill="1" applyBorder="1" applyAlignment="1" applyProtection="1">
      <alignment horizontal="center" vertical="center"/>
      <protection hidden="1"/>
    </xf>
    <xf numFmtId="0" fontId="37" fillId="8" borderId="11" xfId="1" applyNumberFormat="1" applyFont="1" applyFill="1" applyBorder="1" applyAlignment="1" applyProtection="1">
      <alignment horizontal="center" vertical="center" wrapText="1"/>
      <protection hidden="1"/>
    </xf>
    <xf numFmtId="0" fontId="37" fillId="8" borderId="9" xfId="1" applyNumberFormat="1" applyFont="1" applyFill="1" applyBorder="1" applyAlignment="1" applyProtection="1">
      <alignment horizontal="center" vertical="center" wrapText="1"/>
      <protection hidden="1"/>
    </xf>
    <xf numFmtId="0" fontId="3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8" fillId="0" borderId="0" xfId="0" applyNumberFormat="1" applyFont="1" applyFill="1" applyAlignment="1" applyProtection="1">
      <alignment vertical="center"/>
      <protection hidden="1"/>
    </xf>
    <xf numFmtId="0" fontId="37" fillId="0" borderId="0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11" xfId="0" applyNumberFormat="1" applyFont="1" applyFill="1" applyBorder="1" applyAlignment="1" applyProtection="1">
      <alignment horizontal="right" vertical="center"/>
      <protection locked="0"/>
    </xf>
    <xf numFmtId="43" fontId="3" fillId="0" borderId="9" xfId="1" applyFont="1" applyFill="1" applyBorder="1" applyAlignment="1" applyProtection="1">
      <alignment horizontal="right" vertical="center"/>
      <protection hidden="1"/>
    </xf>
    <xf numFmtId="9" fontId="3" fillId="0" borderId="12" xfId="11" applyNumberFormat="1" applyFont="1" applyFill="1" applyBorder="1" applyAlignment="1" applyProtection="1">
      <alignment vertical="center"/>
      <protection locked="0"/>
    </xf>
    <xf numFmtId="39" fontId="3" fillId="0" borderId="0" xfId="0" applyNumberFormat="1" applyFont="1" applyFill="1" applyAlignment="1" applyProtection="1">
      <alignment vertical="center"/>
      <protection hidden="1"/>
    </xf>
    <xf numFmtId="9" fontId="31" fillId="0" borderId="0" xfId="11" applyNumberFormat="1" applyFont="1" applyFill="1" applyBorder="1" applyAlignment="1" applyProtection="1">
      <alignment vertical="center"/>
      <protection locked="0"/>
    </xf>
    <xf numFmtId="39" fontId="4" fillId="0" borderId="21" xfId="0" applyNumberFormat="1" applyFont="1" applyFill="1" applyBorder="1" applyAlignment="1" applyProtection="1">
      <alignment horizontal="right" vertical="center"/>
      <protection hidden="1"/>
    </xf>
    <xf numFmtId="39" fontId="4" fillId="0" borderId="10" xfId="0" applyNumberFormat="1" applyFont="1" applyFill="1" applyBorder="1" applyAlignment="1" applyProtection="1">
      <alignment horizontal="center" vertical="center"/>
      <protection hidden="1"/>
    </xf>
    <xf numFmtId="10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22" xfId="0" applyNumberFormat="1" applyFont="1" applyFill="1" applyBorder="1" applyAlignment="1" applyProtection="1">
      <alignment horizontal="right" vertical="center"/>
      <protection hidden="1"/>
    </xf>
    <xf numFmtId="9" fontId="3" fillId="0" borderId="21" xfId="0" applyNumberFormat="1" applyFont="1" applyFill="1" applyBorder="1" applyAlignment="1" applyProtection="1">
      <alignment horizontal="right" vertical="center"/>
      <protection hidden="1"/>
    </xf>
    <xf numFmtId="43" fontId="3" fillId="0" borderId="10" xfId="1" applyFont="1" applyFill="1" applyBorder="1" applyAlignment="1" applyProtection="1">
      <alignment horizontal="right" vertical="center"/>
      <protection hidden="1"/>
    </xf>
    <xf numFmtId="9" fontId="3" fillId="0" borderId="10" xfId="0" applyNumberFormat="1" applyFont="1" applyFill="1" applyBorder="1" applyAlignment="1" applyProtection="1">
      <alignment horizontal="right" vertical="center"/>
      <protection hidden="1"/>
    </xf>
    <xf numFmtId="4" fontId="3" fillId="0" borderId="10" xfId="0" applyNumberFormat="1" applyFont="1" applyFill="1" applyBorder="1" applyAlignment="1" applyProtection="1">
      <alignment horizontal="right" vertical="center"/>
      <protection hidden="1"/>
    </xf>
    <xf numFmtId="9" fontId="31" fillId="0" borderId="0" xfId="0" applyNumberFormat="1" applyFont="1" applyFill="1" applyBorder="1" applyAlignment="1" applyProtection="1">
      <alignment horizontal="right" vertical="center"/>
      <protection hidden="1"/>
    </xf>
    <xf numFmtId="169" fontId="3" fillId="0" borderId="11" xfId="0" applyNumberFormat="1" applyFont="1" applyFill="1" applyBorder="1" applyAlignment="1" applyProtection="1">
      <alignment horizontal="right" vertical="center"/>
      <protection locked="0"/>
    </xf>
    <xf numFmtId="169" fontId="3" fillId="0" borderId="12" xfId="11" applyNumberFormat="1" applyFont="1" applyFill="1" applyBorder="1" applyAlignment="1" applyProtection="1">
      <alignment vertical="center"/>
      <protection locked="0"/>
    </xf>
    <xf numFmtId="39" fontId="4" fillId="0" borderId="36" xfId="0" applyNumberFormat="1" applyFont="1" applyFill="1" applyBorder="1" applyAlignment="1" applyProtection="1">
      <alignment horizontal="right" vertical="center"/>
      <protection hidden="1"/>
    </xf>
    <xf numFmtId="39" fontId="4" fillId="0" borderId="2" xfId="0" applyNumberFormat="1" applyFont="1" applyFill="1" applyBorder="1" applyAlignment="1" applyProtection="1">
      <alignment horizontal="center" vertical="center"/>
      <protection hidden="1"/>
    </xf>
    <xf numFmtId="10" fontId="4" fillId="0" borderId="2" xfId="0" applyNumberFormat="1" applyFont="1" applyFill="1" applyBorder="1" applyAlignment="1" applyProtection="1">
      <alignment horizontal="center" vertical="center"/>
      <protection hidden="1"/>
    </xf>
    <xf numFmtId="165" fontId="4" fillId="0" borderId="37" xfId="0" applyNumberFormat="1" applyFont="1" applyFill="1" applyBorder="1" applyAlignment="1" applyProtection="1">
      <alignment horizontal="right" vertical="center"/>
      <protection hidden="1"/>
    </xf>
    <xf numFmtId="39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7" xfId="11" applyNumberFormat="1" applyFont="1" applyFill="1" applyBorder="1" applyAlignment="1" applyProtection="1">
      <alignment horizontal="center" vertical="center"/>
      <protection hidden="1"/>
    </xf>
    <xf numFmtId="165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43" fontId="3" fillId="0" borderId="10" xfId="1" applyFont="1" applyFill="1" applyBorder="1" applyAlignment="1" applyProtection="1">
      <alignment horizontal="center" vertical="center" wrapText="1"/>
      <protection hidden="1"/>
    </xf>
    <xf numFmtId="9" fontId="3" fillId="0" borderId="10" xfId="11" applyNumberFormat="1" applyFont="1" applyFill="1" applyBorder="1" applyAlignment="1" applyProtection="1">
      <alignment vertical="center"/>
      <protection hidden="1"/>
    </xf>
    <xf numFmtId="4" fontId="3" fillId="0" borderId="10" xfId="1" applyNumberFormat="1" applyFont="1" applyFill="1" applyBorder="1" applyAlignment="1" applyProtection="1">
      <alignment vertical="center"/>
      <protection hidden="1"/>
    </xf>
    <xf numFmtId="39" fontId="4" fillId="0" borderId="38" xfId="0" applyNumberFormat="1" applyFont="1" applyFill="1" applyBorder="1" applyAlignment="1" applyProtection="1">
      <alignment horizontal="center" vertical="center"/>
      <protection hidden="1"/>
    </xf>
    <xf numFmtId="3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4" fillId="0" borderId="0" xfId="11" applyNumberFormat="1" applyFont="1" applyFill="1" applyBorder="1" applyAlignment="1" applyProtection="1">
      <alignment horizontal="center" vertical="center"/>
      <protection hidden="1"/>
    </xf>
    <xf numFmtId="165" fontId="3" fillId="0" borderId="39" xfId="0" applyNumberFormat="1" applyFont="1" applyFill="1" applyBorder="1" applyAlignment="1" applyProtection="1">
      <alignment vertical="center"/>
      <protection hidden="1"/>
    </xf>
    <xf numFmtId="9" fontId="3" fillId="0" borderId="36" xfId="11" applyNumberFormat="1" applyFont="1" applyFill="1" applyBorder="1" applyAlignment="1" applyProtection="1">
      <alignment vertical="center"/>
      <protection hidden="1"/>
    </xf>
    <xf numFmtId="43" fontId="3" fillId="0" borderId="2" xfId="1" applyFont="1" applyFill="1" applyBorder="1" applyAlignment="1" applyProtection="1">
      <alignment vertical="center"/>
      <protection hidden="1"/>
    </xf>
    <xf numFmtId="9" fontId="3" fillId="0" borderId="2" xfId="11" applyNumberFormat="1" applyFont="1" applyFill="1" applyBorder="1" applyAlignment="1" applyProtection="1">
      <alignment vertical="center"/>
      <protection hidden="1"/>
    </xf>
    <xf numFmtId="4" fontId="3" fillId="0" borderId="2" xfId="1" applyNumberFormat="1" applyFont="1" applyFill="1" applyBorder="1" applyAlignment="1" applyProtection="1">
      <alignment vertical="center"/>
      <protection hidden="1"/>
    </xf>
    <xf numFmtId="9" fontId="3" fillId="0" borderId="2" xfId="1" applyNumberFormat="1" applyFont="1" applyFill="1" applyBorder="1" applyAlignment="1" applyProtection="1">
      <alignment vertical="center"/>
      <protection hidden="1"/>
    </xf>
    <xf numFmtId="39" fontId="4" fillId="0" borderId="16" xfId="0" applyNumberFormat="1" applyFont="1" applyFill="1" applyBorder="1" applyAlignment="1" applyProtection="1">
      <alignment horizontal="right" vertical="center"/>
      <protection hidden="1"/>
    </xf>
    <xf numFmtId="39" fontId="4" fillId="0" borderId="17" xfId="0" applyNumberFormat="1" applyFont="1" applyFill="1" applyBorder="1" applyAlignment="1" applyProtection="1">
      <alignment horizontal="center" vertical="center"/>
      <protection hidden="1"/>
    </xf>
    <xf numFmtId="9" fontId="4" fillId="0" borderId="17" xfId="0" applyNumberFormat="1" applyFont="1" applyFill="1" applyBorder="1" applyAlignment="1" applyProtection="1">
      <alignment horizontal="right" vertical="center"/>
      <protection hidden="1"/>
    </xf>
    <xf numFmtId="165" fontId="4" fillId="0" borderId="18" xfId="0" applyNumberFormat="1" applyFont="1" applyFill="1" applyBorder="1" applyAlignment="1" applyProtection="1">
      <alignment horizontal="right" vertical="center"/>
      <protection hidden="1"/>
    </xf>
    <xf numFmtId="9" fontId="4" fillId="0" borderId="16" xfId="0" applyNumberFormat="1" applyFont="1" applyFill="1" applyBorder="1" applyAlignment="1" applyProtection="1">
      <alignment horizontal="right" vertical="center"/>
      <protection hidden="1"/>
    </xf>
    <xf numFmtId="43" fontId="3" fillId="0" borderId="17" xfId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horizontal="right" vertical="center"/>
      <protection hidden="1"/>
    </xf>
    <xf numFmtId="9" fontId="36" fillId="0" borderId="0" xfId="0" applyNumberFormat="1" applyFont="1" applyFill="1" applyBorder="1" applyAlignment="1" applyProtection="1">
      <alignment horizontal="right" vertical="center"/>
      <protection hidden="1"/>
    </xf>
    <xf numFmtId="170" fontId="4" fillId="0" borderId="42" xfId="6" applyNumberFormat="1" applyFont="1" applyFill="1" applyBorder="1" applyAlignment="1" applyProtection="1">
      <alignment horizontal="center" vertical="center"/>
      <protection hidden="1"/>
    </xf>
    <xf numFmtId="10" fontId="3" fillId="0" borderId="43" xfId="5" applyNumberFormat="1" applyFont="1" applyFill="1" applyBorder="1" applyAlignment="1" applyProtection="1">
      <alignment vertical="center"/>
      <protection hidden="1"/>
    </xf>
    <xf numFmtId="43" fontId="3" fillId="0" borderId="44" xfId="1" applyFont="1" applyFill="1" applyBorder="1" applyAlignment="1" applyProtection="1">
      <alignment vertical="center"/>
      <protection hidden="1"/>
    </xf>
    <xf numFmtId="10" fontId="3" fillId="0" borderId="45" xfId="5" applyNumberFormat="1" applyFont="1" applyFill="1" applyBorder="1" applyAlignment="1" applyProtection="1">
      <alignment vertical="center"/>
      <protection hidden="1"/>
    </xf>
    <xf numFmtId="170" fontId="3" fillId="0" borderId="46" xfId="6" applyNumberFormat="1" applyFont="1" applyFill="1" applyBorder="1" applyAlignment="1" applyProtection="1">
      <alignment vertical="center"/>
      <protection hidden="1"/>
    </xf>
    <xf numFmtId="10" fontId="31" fillId="0" borderId="0" xfId="5" applyNumberFormat="1" applyFont="1" applyFill="1" applyBorder="1" applyAlignment="1" applyProtection="1">
      <alignment vertical="center"/>
      <protection hidden="1"/>
    </xf>
    <xf numFmtId="170" fontId="3" fillId="0" borderId="43" xfId="6" applyNumberFormat="1" applyFont="1" applyFill="1" applyBorder="1" applyAlignment="1" applyProtection="1">
      <alignment horizontal="center" vertical="center"/>
      <protection hidden="1"/>
    </xf>
    <xf numFmtId="170" fontId="3" fillId="0" borderId="45" xfId="6" applyNumberFormat="1" applyFont="1" applyFill="1" applyBorder="1" applyAlignment="1" applyProtection="1">
      <alignment horizontal="center" vertical="center"/>
      <protection hidden="1"/>
    </xf>
    <xf numFmtId="170" fontId="3" fillId="0" borderId="41" xfId="6" applyNumberFormat="1" applyFont="1" applyFill="1" applyBorder="1" applyAlignment="1" applyProtection="1">
      <alignment horizontal="center" vertical="center"/>
      <protection hidden="1"/>
    </xf>
    <xf numFmtId="170" fontId="31" fillId="0" borderId="0" xfId="6" applyNumberFormat="1" applyFont="1" applyFill="1" applyBorder="1" applyAlignment="1" applyProtection="1">
      <alignment horizontal="center" vertical="center"/>
      <protection hidden="1"/>
    </xf>
    <xf numFmtId="9" fontId="3" fillId="0" borderId="10" xfId="1" applyNumberFormat="1" applyFont="1" applyFill="1" applyBorder="1" applyAlignment="1" applyProtection="1">
      <alignment vertical="center"/>
      <protection hidden="1"/>
    </xf>
    <xf numFmtId="39" fontId="4" fillId="0" borderId="11" xfId="0" applyNumberFormat="1" applyFont="1" applyFill="1" applyBorder="1" applyAlignment="1" applyProtection="1">
      <alignment horizontal="center" vertical="center"/>
      <protection hidden="1"/>
    </xf>
    <xf numFmtId="39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12" xfId="11" applyNumberFormat="1" applyFont="1" applyFill="1" applyBorder="1" applyAlignment="1" applyProtection="1">
      <alignment horizontal="center" vertical="center"/>
      <protection hidden="1"/>
    </xf>
    <xf numFmtId="165" fontId="4" fillId="0" borderId="9" xfId="0" applyNumberFormat="1" applyFont="1" applyFill="1" applyBorder="1" applyAlignment="1" applyProtection="1">
      <alignment horizontal="center" vertical="center"/>
      <protection hidden="1"/>
    </xf>
    <xf numFmtId="10" fontId="4" fillId="0" borderId="50" xfId="5" applyNumberFormat="1" applyFont="1" applyFill="1" applyBorder="1" applyAlignment="1" applyProtection="1">
      <alignment vertical="center"/>
      <protection hidden="1"/>
    </xf>
    <xf numFmtId="170" fontId="4" fillId="0" borderId="53" xfId="6" applyNumberFormat="1" applyFont="1" applyFill="1" applyBorder="1" applyAlignment="1" applyProtection="1">
      <alignment horizontal="center" vertical="center"/>
      <protection hidden="1"/>
    </xf>
    <xf numFmtId="170" fontId="4" fillId="0" borderId="54" xfId="6" applyNumberFormat="1" applyFont="1" applyFill="1" applyBorder="1" applyAlignment="1" applyProtection="1">
      <alignment horizontal="center" vertical="center"/>
      <protection hidden="1"/>
    </xf>
    <xf numFmtId="10" fontId="36" fillId="0" borderId="0" xfId="5" applyNumberFormat="1" applyFont="1" applyFill="1" applyBorder="1" applyAlignment="1" applyProtection="1">
      <alignment vertical="center"/>
      <protection hidden="1"/>
    </xf>
    <xf numFmtId="39" fontId="3" fillId="0" borderId="0" xfId="0" applyNumberFormat="1" applyFont="1" applyFill="1" applyAlignment="1" applyProtection="1">
      <alignment horizontal="center" vertical="center"/>
      <protection hidden="1"/>
    </xf>
    <xf numFmtId="9" fontId="3" fillId="0" borderId="0" xfId="0" applyNumberFormat="1" applyFont="1" applyFill="1" applyAlignment="1" applyProtection="1">
      <alignment vertical="center"/>
      <protection hidden="1"/>
    </xf>
    <xf numFmtId="43" fontId="3" fillId="0" borderId="0" xfId="1" applyFont="1" applyFill="1" applyAlignment="1" applyProtection="1">
      <alignment vertical="center"/>
      <protection hidden="1"/>
    </xf>
    <xf numFmtId="9" fontId="31" fillId="0" borderId="0" xfId="0" applyNumberFormat="1" applyFont="1" applyFill="1" applyBorder="1" applyAlignment="1" applyProtection="1">
      <alignment vertical="center"/>
      <protection hidden="1"/>
    </xf>
    <xf numFmtId="9" fontId="3" fillId="0" borderId="4" xfId="0" applyNumberFormat="1" applyFont="1" applyFill="1" applyBorder="1" applyAlignment="1" applyProtection="1">
      <alignment vertical="center"/>
      <protection hidden="1"/>
    </xf>
    <xf numFmtId="0" fontId="40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0" fillId="0" borderId="12" xfId="1" applyNumberFormat="1" applyFont="1" applyFill="1" applyBorder="1" applyAlignment="1" applyProtection="1">
      <alignment horizontal="center" vertical="center" wrapText="1"/>
      <protection hidden="1"/>
    </xf>
    <xf numFmtId="39" fontId="39" fillId="0" borderId="21" xfId="0" applyNumberFormat="1" applyFont="1" applyFill="1" applyBorder="1" applyAlignment="1" applyProtection="1">
      <alignment horizontal="right" vertical="center"/>
      <protection hidden="1"/>
    </xf>
    <xf numFmtId="39" fontId="39" fillId="0" borderId="10" xfId="0" applyNumberFormat="1" applyFont="1" applyFill="1" applyBorder="1" applyAlignment="1" applyProtection="1">
      <alignment horizontal="center" vertical="center"/>
      <protection hidden="1"/>
    </xf>
    <xf numFmtId="10" fontId="39" fillId="0" borderId="10" xfId="0" applyNumberFormat="1" applyFont="1" applyFill="1" applyBorder="1" applyAlignment="1" applyProtection="1">
      <alignment horizontal="center" vertical="center"/>
      <protection hidden="1"/>
    </xf>
    <xf numFmtId="165" fontId="39" fillId="0" borderId="22" xfId="0" applyNumberFormat="1" applyFont="1" applyFill="1" applyBorder="1" applyAlignment="1" applyProtection="1">
      <alignment horizontal="right" vertical="center"/>
      <protection hidden="1"/>
    </xf>
    <xf numFmtId="9" fontId="12" fillId="0" borderId="21" xfId="0" applyNumberFormat="1" applyFont="1" applyFill="1" applyBorder="1" applyAlignment="1" applyProtection="1">
      <alignment horizontal="right" vertical="center"/>
      <protection hidden="1"/>
    </xf>
    <xf numFmtId="43" fontId="12" fillId="0" borderId="10" xfId="1" applyFont="1" applyFill="1" applyBorder="1" applyAlignment="1" applyProtection="1">
      <alignment horizontal="right" vertical="center"/>
      <protection hidden="1"/>
    </xf>
    <xf numFmtId="9" fontId="12" fillId="0" borderId="10" xfId="0" applyNumberFormat="1" applyFont="1" applyFill="1" applyBorder="1" applyAlignment="1" applyProtection="1">
      <alignment horizontal="right" vertical="center"/>
      <protection hidden="1"/>
    </xf>
    <xf numFmtId="4" fontId="12" fillId="0" borderId="10" xfId="0" applyNumberFormat="1" applyFont="1" applyFill="1" applyBorder="1" applyAlignment="1" applyProtection="1">
      <alignment horizontal="right" vertical="center"/>
      <protection hidden="1"/>
    </xf>
    <xf numFmtId="39" fontId="39" fillId="0" borderId="33" xfId="0" applyNumberFormat="1" applyFont="1" applyFill="1" applyBorder="1" applyAlignment="1" applyProtection="1">
      <alignment horizontal="center" vertical="center"/>
      <protection hidden="1"/>
    </xf>
    <xf numFmtId="39" fontId="39" fillId="0" borderId="7" xfId="0" applyNumberFormat="1" applyFont="1" applyFill="1" applyBorder="1" applyAlignment="1" applyProtection="1">
      <alignment horizontal="center" vertical="center" wrapText="1"/>
      <protection hidden="1"/>
    </xf>
    <xf numFmtId="10" fontId="39" fillId="0" borderId="7" xfId="11" applyNumberFormat="1" applyFont="1" applyFill="1" applyBorder="1" applyAlignment="1" applyProtection="1">
      <alignment horizontal="center" vertical="center"/>
      <protection hidden="1"/>
    </xf>
    <xf numFmtId="165" fontId="39" fillId="0" borderId="34" xfId="1" applyNumberFormat="1" applyFont="1" applyFill="1" applyBorder="1" applyAlignment="1" applyProtection="1">
      <alignment horizontal="center" vertical="center" wrapText="1"/>
      <protection hidden="1"/>
    </xf>
    <xf numFmtId="9" fontId="12" fillId="0" borderId="21" xfId="1" applyNumberFormat="1" applyFont="1" applyFill="1" applyBorder="1" applyAlignment="1" applyProtection="1">
      <alignment horizontal="center" vertical="center" wrapText="1"/>
      <protection hidden="1"/>
    </xf>
    <xf numFmtId="43" fontId="12" fillId="0" borderId="10" xfId="1" applyFont="1" applyFill="1" applyBorder="1" applyAlignment="1" applyProtection="1">
      <alignment horizontal="center" vertical="center" wrapText="1"/>
      <protection hidden="1"/>
    </xf>
    <xf numFmtId="9" fontId="12" fillId="0" borderId="10" xfId="11" applyNumberFormat="1" applyFont="1" applyFill="1" applyBorder="1" applyAlignment="1" applyProtection="1">
      <alignment vertical="center"/>
      <protection hidden="1"/>
    </xf>
    <xf numFmtId="4" fontId="12" fillId="0" borderId="10" xfId="1" applyNumberFormat="1" applyFont="1" applyFill="1" applyBorder="1" applyAlignment="1" applyProtection="1">
      <alignment vertical="center"/>
      <protection hidden="1"/>
    </xf>
    <xf numFmtId="0" fontId="3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8" fillId="0" borderId="0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0" xfId="11" applyNumberFormat="1" applyFont="1" applyFill="1" applyBorder="1" applyAlignment="1" applyProtection="1">
      <alignment vertical="center"/>
      <protection locked="0"/>
    </xf>
    <xf numFmtId="4" fontId="14" fillId="4" borderId="23" xfId="2" quotePrefix="1" applyNumberFormat="1" applyFont="1" applyFill="1" applyBorder="1" applyAlignment="1">
      <alignment vertical="top"/>
    </xf>
    <xf numFmtId="39" fontId="13" fillId="0" borderId="9" xfId="2" applyFont="1" applyFill="1" applyBorder="1" applyAlignment="1">
      <alignment horizontal="center" vertical="top"/>
    </xf>
    <xf numFmtId="39" fontId="13" fillId="0" borderId="10" xfId="2" applyFont="1" applyFill="1" applyBorder="1" applyAlignment="1">
      <alignment horizontal="center" vertical="top"/>
    </xf>
    <xf numFmtId="39" fontId="13" fillId="0" borderId="11" xfId="2" applyFont="1" applyFill="1" applyBorder="1" applyAlignment="1">
      <alignment horizontal="center" vertical="top"/>
    </xf>
    <xf numFmtId="4" fontId="13" fillId="0" borderId="13" xfId="2" quotePrefix="1" applyNumberFormat="1" applyFont="1" applyFill="1" applyBorder="1" applyAlignment="1">
      <alignment vertical="top"/>
    </xf>
    <xf numFmtId="4" fontId="13" fillId="0" borderId="14" xfId="2" quotePrefix="1" applyNumberFormat="1" applyFont="1" applyFill="1" applyBorder="1" applyAlignment="1">
      <alignment vertical="top"/>
    </xf>
    <xf numFmtId="4" fontId="13" fillId="0" borderId="15" xfId="2" quotePrefix="1" applyNumberFormat="1" applyFont="1" applyFill="1" applyBorder="1" applyAlignment="1">
      <alignment vertical="top"/>
    </xf>
    <xf numFmtId="0" fontId="13" fillId="0" borderId="12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 wrapText="1"/>
    </xf>
    <xf numFmtId="0" fontId="38" fillId="0" borderId="15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0" xfId="0" applyNumberFormat="1" applyFont="1" applyFill="1" applyBorder="1" applyAlignment="1" applyProtection="1">
      <alignment horizontal="right" vertical="center"/>
      <protection hidden="1"/>
    </xf>
    <xf numFmtId="9" fontId="39" fillId="9" borderId="27" xfId="0" applyNumberFormat="1" applyFont="1" applyFill="1" applyBorder="1" applyAlignment="1" applyProtection="1">
      <alignment horizontal="center" vertical="center"/>
      <protection hidden="1"/>
    </xf>
    <xf numFmtId="9" fontId="39" fillId="9" borderId="31" xfId="0" applyNumberFormat="1" applyFont="1" applyFill="1" applyBorder="1" applyAlignment="1" applyProtection="1">
      <alignment horizontal="center" vertical="center"/>
      <protection hidden="1"/>
    </xf>
    <xf numFmtId="168" fontId="39" fillId="9" borderId="31" xfId="0" applyNumberFormat="1" applyFont="1" applyFill="1" applyBorder="1" applyAlignment="1" applyProtection="1">
      <alignment horizontal="center" vertical="center"/>
      <protection hidden="1"/>
    </xf>
    <xf numFmtId="168" fontId="39" fillId="9" borderId="28" xfId="0" applyNumberFormat="1" applyFont="1" applyFill="1" applyBorder="1" applyAlignment="1" applyProtection="1">
      <alignment horizontal="center" vertical="center"/>
      <protection hidden="1"/>
    </xf>
    <xf numFmtId="9" fontId="12" fillId="9" borderId="7" xfId="0" applyNumberFormat="1" applyFont="1" applyFill="1" applyBorder="1" applyAlignment="1" applyProtection="1">
      <alignment horizontal="center" vertical="center"/>
      <protection hidden="1"/>
    </xf>
    <xf numFmtId="4" fontId="12" fillId="9" borderId="7" xfId="0" applyNumberFormat="1" applyFont="1" applyFill="1" applyBorder="1" applyAlignment="1" applyProtection="1">
      <alignment horizontal="center" vertical="center"/>
      <protection hidden="1"/>
    </xf>
    <xf numFmtId="4" fontId="12" fillId="9" borderId="34" xfId="0" applyNumberFormat="1" applyFont="1" applyFill="1" applyBorder="1" applyAlignment="1" applyProtection="1">
      <alignment horizontal="center" vertical="center"/>
      <protection hidden="1"/>
    </xf>
    <xf numFmtId="0" fontId="40" fillId="9" borderId="11" xfId="1" applyNumberFormat="1" applyFont="1" applyFill="1" applyBorder="1" applyAlignment="1" applyProtection="1">
      <alignment horizontal="center" vertical="center" wrapText="1"/>
      <protection hidden="1"/>
    </xf>
    <xf numFmtId="0" fontId="40" fillId="9" borderId="9" xfId="1" applyNumberFormat="1" applyFont="1" applyFill="1" applyBorder="1" applyAlignment="1" applyProtection="1">
      <alignment horizontal="center" vertical="center" wrapText="1"/>
      <protection hidden="1"/>
    </xf>
    <xf numFmtId="0" fontId="40" fillId="9" borderId="12" xfId="1" applyNumberFormat="1" applyFont="1" applyFill="1" applyBorder="1" applyAlignment="1" applyProtection="1">
      <alignment horizontal="center" vertical="center" wrapText="1"/>
      <protection hidden="1"/>
    </xf>
    <xf numFmtId="0" fontId="40" fillId="9" borderId="23" xfId="1" applyNumberFormat="1" applyFont="1" applyFill="1" applyBorder="1" applyAlignment="1" applyProtection="1">
      <alignment horizontal="center" vertical="center" wrapText="1"/>
      <protection hidden="1"/>
    </xf>
    <xf numFmtId="9" fontId="12" fillId="9" borderId="12" xfId="11" applyNumberFormat="1" applyFont="1" applyFill="1" applyBorder="1" applyAlignment="1" applyProtection="1">
      <alignment vertical="center"/>
      <protection locked="0"/>
    </xf>
    <xf numFmtId="43" fontId="12" fillId="9" borderId="9" xfId="1" applyFont="1" applyFill="1" applyBorder="1" applyAlignment="1" applyProtection="1">
      <alignment horizontal="right" vertical="center"/>
      <protection hidden="1"/>
    </xf>
    <xf numFmtId="43" fontId="12" fillId="9" borderId="23" xfId="1" applyFont="1" applyFill="1" applyBorder="1" applyAlignment="1" applyProtection="1">
      <alignment horizontal="right" vertical="center"/>
      <protection hidden="1"/>
    </xf>
    <xf numFmtId="9" fontId="12" fillId="9" borderId="10" xfId="0" applyNumberFormat="1" applyFont="1" applyFill="1" applyBorder="1" applyAlignment="1" applyProtection="1">
      <alignment horizontal="right" vertical="center"/>
      <protection hidden="1"/>
    </xf>
    <xf numFmtId="4" fontId="12" fillId="9" borderId="10" xfId="0" applyNumberFormat="1" applyFont="1" applyFill="1" applyBorder="1" applyAlignment="1" applyProtection="1">
      <alignment horizontal="right" vertical="center"/>
      <protection hidden="1"/>
    </xf>
    <xf numFmtId="4" fontId="12" fillId="9" borderId="22" xfId="0" applyNumberFormat="1" applyFont="1" applyFill="1" applyBorder="1" applyAlignment="1" applyProtection="1">
      <alignment horizontal="right" vertical="center"/>
      <protection hidden="1"/>
    </xf>
    <xf numFmtId="169" fontId="12" fillId="9" borderId="12" xfId="11" applyNumberFormat="1" applyFont="1" applyFill="1" applyBorder="1" applyAlignment="1" applyProtection="1">
      <alignment vertical="center"/>
      <protection locked="0"/>
    </xf>
    <xf numFmtId="169" fontId="12" fillId="9" borderId="10" xfId="0" applyNumberFormat="1" applyFont="1" applyFill="1" applyBorder="1" applyAlignment="1" applyProtection="1">
      <alignment horizontal="right" vertical="center"/>
      <protection hidden="1"/>
    </xf>
    <xf numFmtId="9" fontId="12" fillId="9" borderId="10" xfId="1" applyNumberFormat="1" applyFont="1" applyFill="1" applyBorder="1" applyAlignment="1" applyProtection="1">
      <alignment vertical="center"/>
      <protection hidden="1"/>
    </xf>
    <xf numFmtId="4" fontId="12" fillId="9" borderId="10" xfId="1" applyNumberFormat="1" applyFont="1" applyFill="1" applyBorder="1" applyAlignment="1" applyProtection="1">
      <alignment vertical="center"/>
      <protection hidden="1"/>
    </xf>
    <xf numFmtId="4" fontId="12" fillId="9" borderId="22" xfId="1" applyNumberFormat="1" applyFont="1" applyFill="1" applyBorder="1" applyAlignment="1" applyProtection="1">
      <alignment vertical="center"/>
      <protection hidden="1"/>
    </xf>
    <xf numFmtId="9" fontId="12" fillId="9" borderId="2" xfId="1" applyNumberFormat="1" applyFont="1" applyFill="1" applyBorder="1" applyAlignment="1" applyProtection="1">
      <alignment vertical="center"/>
      <protection hidden="1"/>
    </xf>
    <xf numFmtId="4" fontId="12" fillId="9" borderId="2" xfId="1" applyNumberFormat="1" applyFont="1" applyFill="1" applyBorder="1" applyAlignment="1" applyProtection="1">
      <alignment vertical="center"/>
      <protection hidden="1"/>
    </xf>
    <xf numFmtId="4" fontId="12" fillId="9" borderId="37" xfId="1" applyNumberFormat="1" applyFont="1" applyFill="1" applyBorder="1" applyAlignment="1" applyProtection="1">
      <alignment vertical="center"/>
      <protection hidden="1"/>
    </xf>
    <xf numFmtId="9" fontId="39" fillId="9" borderId="17" xfId="0" applyNumberFormat="1" applyFont="1" applyFill="1" applyBorder="1" applyAlignment="1" applyProtection="1">
      <alignment horizontal="right" vertical="center"/>
      <protection hidden="1"/>
    </xf>
    <xf numFmtId="4" fontId="39" fillId="9" borderId="17" xfId="0" applyNumberFormat="1" applyFont="1" applyFill="1" applyBorder="1" applyAlignment="1" applyProtection="1">
      <alignment horizontal="right" vertical="center"/>
      <protection hidden="1"/>
    </xf>
    <xf numFmtId="4" fontId="39" fillId="9" borderId="18" xfId="0" applyNumberFormat="1" applyFont="1" applyFill="1" applyBorder="1" applyAlignment="1" applyProtection="1">
      <alignment horizontal="right" vertical="center"/>
      <protection hidden="1"/>
    </xf>
    <xf numFmtId="10" fontId="12" fillId="9" borderId="45" xfId="5" applyNumberFormat="1" applyFont="1" applyFill="1" applyBorder="1" applyAlignment="1" applyProtection="1">
      <alignment vertical="center"/>
      <protection hidden="1"/>
    </xf>
    <xf numFmtId="170" fontId="12" fillId="9" borderId="46" xfId="6" applyNumberFormat="1" applyFont="1" applyFill="1" applyBorder="1" applyAlignment="1" applyProtection="1">
      <alignment vertical="center"/>
      <protection hidden="1"/>
    </xf>
    <xf numFmtId="170" fontId="12" fillId="9" borderId="42" xfId="6" applyNumberFormat="1" applyFont="1" applyFill="1" applyBorder="1" applyAlignment="1" applyProtection="1">
      <alignment vertical="center"/>
      <protection hidden="1"/>
    </xf>
    <xf numFmtId="170" fontId="12" fillId="9" borderId="45" xfId="6" applyNumberFormat="1" applyFont="1" applyFill="1" applyBorder="1" applyAlignment="1" applyProtection="1">
      <alignment horizontal="center" vertical="center"/>
      <protection hidden="1"/>
    </xf>
    <xf numFmtId="170" fontId="12" fillId="9" borderId="41" xfId="6" applyNumberFormat="1" applyFont="1" applyFill="1" applyBorder="1" applyAlignment="1" applyProtection="1">
      <alignment horizontal="center" vertical="center"/>
      <protection hidden="1"/>
    </xf>
    <xf numFmtId="170" fontId="12" fillId="9" borderId="43" xfId="6" applyNumberFormat="1" applyFont="1" applyFill="1" applyBorder="1" applyAlignment="1" applyProtection="1">
      <alignment horizontal="center" vertical="center"/>
      <protection hidden="1"/>
    </xf>
    <xf numFmtId="170" fontId="12" fillId="9" borderId="42" xfId="6" applyNumberFormat="1" applyFont="1" applyFill="1" applyBorder="1" applyAlignment="1" applyProtection="1">
      <alignment horizontal="center" vertical="center"/>
      <protection hidden="1"/>
    </xf>
    <xf numFmtId="169" fontId="12" fillId="9" borderId="9" xfId="1" applyNumberFormat="1" applyFont="1" applyFill="1" applyBorder="1" applyAlignment="1" applyProtection="1">
      <alignment horizontal="right" vertical="center"/>
      <protection hidden="1"/>
    </xf>
    <xf numFmtId="43" fontId="12" fillId="9" borderId="49" xfId="1" applyFont="1" applyFill="1" applyBorder="1" applyAlignment="1" applyProtection="1">
      <alignment horizontal="right" vertical="center"/>
      <protection hidden="1"/>
    </xf>
    <xf numFmtId="10" fontId="39" fillId="9" borderId="50" xfId="5" applyNumberFormat="1" applyFont="1" applyFill="1" applyBorder="1" applyAlignment="1" applyProtection="1">
      <alignment vertical="center"/>
      <protection hidden="1"/>
    </xf>
    <xf numFmtId="170" fontId="39" fillId="9" borderId="54" xfId="6" applyNumberFormat="1" applyFont="1" applyFill="1" applyBorder="1" applyAlignment="1" applyProtection="1">
      <alignment horizontal="center" vertical="center"/>
      <protection hidden="1"/>
    </xf>
    <xf numFmtId="9" fontId="3" fillId="0" borderId="57" xfId="0" applyNumberFormat="1" applyFont="1" applyFill="1" applyBorder="1" applyAlignment="1" applyProtection="1">
      <alignment vertical="center"/>
      <protection hidden="1"/>
    </xf>
    <xf numFmtId="39" fontId="4" fillId="0" borderId="21" xfId="0" applyNumberFormat="1" applyFont="1" applyFill="1" applyBorder="1" applyAlignment="1" applyProtection="1">
      <alignment horizontal="center" vertical="center"/>
      <protection hidden="1"/>
    </xf>
    <xf numFmtId="39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10" xfId="11" applyNumberFormat="1" applyFont="1" applyFill="1" applyBorder="1" applyAlignment="1" applyProtection="1">
      <alignment horizontal="center" vertical="center"/>
      <protection hidden="1"/>
    </xf>
    <xf numFmtId="165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10" xfId="0" applyNumberFormat="1" applyFont="1" applyFill="1" applyBorder="1" applyAlignment="1" applyProtection="1">
      <alignment horizontal="right" vertical="center"/>
      <protection locked="0"/>
    </xf>
    <xf numFmtId="9" fontId="3" fillId="0" borderId="10" xfId="11" applyNumberFormat="1" applyFont="1" applyFill="1" applyBorder="1" applyAlignment="1" applyProtection="1">
      <alignment vertical="center"/>
      <protection locked="0"/>
    </xf>
    <xf numFmtId="9" fontId="12" fillId="9" borderId="10" xfId="11" applyNumberFormat="1" applyFont="1" applyFill="1" applyBorder="1" applyAlignment="1" applyProtection="1">
      <alignment vertical="center"/>
      <protection locked="0"/>
    </xf>
    <xf numFmtId="43" fontId="12" fillId="9" borderId="10" xfId="1" applyFont="1" applyFill="1" applyBorder="1" applyAlignment="1" applyProtection="1">
      <alignment horizontal="right" vertical="center"/>
      <protection hidden="1"/>
    </xf>
    <xf numFmtId="43" fontId="12" fillId="9" borderId="22" xfId="1" applyFont="1" applyFill="1" applyBorder="1" applyAlignment="1" applyProtection="1">
      <alignment horizontal="right" vertical="center"/>
      <protection hidden="1"/>
    </xf>
    <xf numFmtId="39" fontId="3" fillId="0" borderId="38" xfId="0" applyNumberFormat="1" applyFont="1" applyFill="1" applyBorder="1" applyAlignment="1" applyProtection="1">
      <alignment vertical="center"/>
      <protection hidden="1"/>
    </xf>
    <xf numFmtId="0" fontId="37" fillId="10" borderId="9" xfId="1" applyNumberFormat="1" applyFont="1" applyFill="1" applyBorder="1" applyAlignment="1" applyProtection="1">
      <alignment horizontal="center" vertical="center" wrapText="1"/>
      <protection hidden="1"/>
    </xf>
    <xf numFmtId="0" fontId="37" fillId="10" borderId="11" xfId="1" applyNumberFormat="1" applyFont="1" applyFill="1" applyBorder="1" applyAlignment="1" applyProtection="1">
      <alignment horizontal="center" vertical="center" wrapText="1"/>
      <protection hidden="1"/>
    </xf>
    <xf numFmtId="0" fontId="37" fillId="10" borderId="12" xfId="1" applyNumberFormat="1" applyFont="1" applyFill="1" applyBorder="1" applyAlignment="1" applyProtection="1">
      <alignment horizontal="center" vertical="center" wrapText="1"/>
      <protection hidden="1"/>
    </xf>
    <xf numFmtId="0" fontId="38" fillId="10" borderId="11" xfId="1" applyNumberFormat="1" applyFont="1" applyFill="1" applyBorder="1" applyAlignment="1" applyProtection="1">
      <alignment horizontal="center" vertical="center" wrapText="1"/>
      <protection hidden="1"/>
    </xf>
    <xf numFmtId="0" fontId="38" fillId="10" borderId="9" xfId="1" applyNumberFormat="1" applyFont="1" applyFill="1" applyBorder="1" applyAlignment="1" applyProtection="1">
      <alignment horizontal="center" vertical="center" wrapText="1"/>
      <protection hidden="1"/>
    </xf>
    <xf numFmtId="9" fontId="12" fillId="9" borderId="11" xfId="11" applyNumberFormat="1" applyFont="1" applyFill="1" applyBorder="1" applyAlignment="1" applyProtection="1">
      <alignment vertical="center"/>
      <protection locked="0"/>
    </xf>
    <xf numFmtId="0" fontId="40" fillId="9" borderId="10" xfId="1" applyNumberFormat="1" applyFont="1" applyFill="1" applyBorder="1" applyAlignment="1" applyProtection="1">
      <alignment horizontal="center" vertical="center" wrapText="1"/>
      <protection hidden="1"/>
    </xf>
    <xf numFmtId="169" fontId="12" fillId="9" borderId="11" xfId="11" applyNumberFormat="1" applyFont="1" applyFill="1" applyBorder="1" applyAlignment="1" applyProtection="1">
      <alignment vertical="center"/>
      <protection locked="0"/>
    </xf>
    <xf numFmtId="10" fontId="12" fillId="9" borderId="43" xfId="5" applyNumberFormat="1" applyFont="1" applyFill="1" applyBorder="1" applyAlignment="1" applyProtection="1">
      <alignment vertical="center"/>
      <protection hidden="1"/>
    </xf>
    <xf numFmtId="168" fontId="4" fillId="7" borderId="28" xfId="0" applyNumberFormat="1" applyFont="1" applyFill="1" applyBorder="1" applyAlignment="1" applyProtection="1">
      <alignment horizontal="center" vertical="center"/>
      <protection hidden="1"/>
    </xf>
    <xf numFmtId="4" fontId="3" fillId="0" borderId="34" xfId="0" applyNumberFormat="1" applyFont="1" applyFill="1" applyBorder="1" applyAlignment="1" applyProtection="1">
      <alignment horizontal="center" vertical="center"/>
      <protection hidden="1"/>
    </xf>
    <xf numFmtId="0" fontId="37" fillId="8" borderId="23" xfId="1" applyNumberFormat="1" applyFont="1" applyFill="1" applyBorder="1" applyAlignment="1" applyProtection="1">
      <alignment horizontal="center" vertical="center" wrapText="1"/>
      <protection hidden="1"/>
    </xf>
    <xf numFmtId="43" fontId="3" fillId="0" borderId="23" xfId="1" applyFont="1" applyFill="1" applyBorder="1" applyAlignment="1" applyProtection="1">
      <alignment horizontal="right" vertical="center"/>
      <protection hidden="1"/>
    </xf>
    <xf numFmtId="9" fontId="3" fillId="0" borderId="22" xfId="0" applyNumberFormat="1" applyFont="1" applyFill="1" applyBorder="1" applyAlignment="1" applyProtection="1">
      <alignment horizontal="right" vertical="center"/>
      <protection hidden="1"/>
    </xf>
    <xf numFmtId="0" fontId="37" fillId="0" borderId="23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11" applyNumberFormat="1" applyFont="1" applyFill="1" applyBorder="1" applyAlignment="1" applyProtection="1">
      <alignment vertical="center"/>
      <protection locked="0"/>
    </xf>
    <xf numFmtId="9" fontId="3" fillId="0" borderId="23" xfId="11" applyNumberFormat="1" applyFont="1" applyFill="1" applyBorder="1" applyAlignment="1" applyProtection="1">
      <alignment vertical="center"/>
      <protection locked="0"/>
    </xf>
    <xf numFmtId="0" fontId="37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7" fillId="10" borderId="22" xfId="1" applyNumberFormat="1" applyFont="1" applyFill="1" applyBorder="1" applyAlignment="1" applyProtection="1">
      <alignment horizontal="center" vertical="center" wrapText="1"/>
      <protection hidden="1"/>
    </xf>
    <xf numFmtId="9" fontId="3" fillId="0" borderId="22" xfId="11" applyNumberFormat="1" applyFont="1" applyFill="1" applyBorder="1" applyAlignment="1" applyProtection="1">
      <alignment vertical="center"/>
      <protection locked="0"/>
    </xf>
    <xf numFmtId="0" fontId="37" fillId="10" borderId="23" xfId="1" applyNumberFormat="1" applyFont="1" applyFill="1" applyBorder="1" applyAlignment="1" applyProtection="1">
      <alignment horizontal="center" vertical="center" wrapText="1"/>
      <protection hidden="1"/>
    </xf>
    <xf numFmtId="9" fontId="12" fillId="0" borderId="22" xfId="0" applyNumberFormat="1" applyFont="1" applyFill="1" applyBorder="1" applyAlignment="1" applyProtection="1">
      <alignment horizontal="right" vertical="center"/>
      <protection hidden="1"/>
    </xf>
    <xf numFmtId="9" fontId="12" fillId="0" borderId="22" xfId="11" applyNumberFormat="1" applyFont="1" applyFill="1" applyBorder="1" applyAlignment="1" applyProtection="1">
      <alignment vertical="center"/>
      <protection hidden="1"/>
    </xf>
    <xf numFmtId="0" fontId="40" fillId="0" borderId="2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7" xfId="1" applyNumberFormat="1" applyFont="1" applyFill="1" applyBorder="1" applyAlignment="1" applyProtection="1">
      <alignment vertical="center"/>
      <protection hidden="1"/>
    </xf>
    <xf numFmtId="4" fontId="4" fillId="0" borderId="18" xfId="0" applyNumberFormat="1" applyFont="1" applyFill="1" applyBorder="1" applyAlignment="1" applyProtection="1">
      <alignment horizontal="right" vertical="center"/>
      <protection hidden="1"/>
    </xf>
    <xf numFmtId="170" fontId="3" fillId="0" borderId="59" xfId="6" applyNumberFormat="1" applyFont="1" applyFill="1" applyBorder="1" applyAlignment="1" applyProtection="1">
      <alignment vertical="center"/>
      <protection hidden="1"/>
    </xf>
    <xf numFmtId="170" fontId="3" fillId="0" borderId="42" xfId="6" applyNumberFormat="1" applyFont="1" applyFill="1" applyBorder="1" applyAlignment="1" applyProtection="1">
      <alignment horizontal="center" vertical="center"/>
      <protection hidden="1"/>
    </xf>
    <xf numFmtId="4" fontId="3" fillId="0" borderId="22" xfId="1" applyNumberFormat="1" applyFont="1" applyFill="1" applyBorder="1" applyAlignment="1" applyProtection="1">
      <alignment vertical="center"/>
      <protection hidden="1"/>
    </xf>
    <xf numFmtId="0" fontId="7" fillId="0" borderId="9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4" fontId="13" fillId="0" borderId="13" xfId="2" quotePrefix="1" applyNumberFormat="1" applyFont="1" applyFill="1" applyBorder="1" applyAlignment="1">
      <alignment horizontal="center" vertical="top"/>
    </xf>
    <xf numFmtId="4" fontId="13" fillId="0" borderId="14" xfId="2" quotePrefix="1" applyNumberFormat="1" applyFont="1" applyFill="1" applyBorder="1" applyAlignment="1">
      <alignment horizontal="center" vertical="top"/>
    </xf>
    <xf numFmtId="0" fontId="22" fillId="3" borderId="0" xfId="0" applyFont="1" applyFill="1" applyBorder="1" applyAlignment="1">
      <alignment horizontal="left" vertical="center" wrapText="1"/>
    </xf>
    <xf numFmtId="39" fontId="13" fillId="0" borderId="13" xfId="2" applyFont="1" applyFill="1" applyBorder="1" applyAlignment="1">
      <alignment horizontal="center" vertical="top"/>
    </xf>
    <xf numFmtId="0" fontId="22" fillId="4" borderId="16" xfId="0" applyFont="1" applyFill="1" applyBorder="1" applyAlignment="1">
      <alignment horizontal="center" vertical="top"/>
    </xf>
    <xf numFmtId="0" fontId="22" fillId="4" borderId="17" xfId="0" applyFont="1" applyFill="1" applyBorder="1" applyAlignment="1">
      <alignment horizontal="center" vertical="top"/>
    </xf>
    <xf numFmtId="0" fontId="22" fillId="4" borderId="18" xfId="0" applyFont="1" applyFill="1" applyBorder="1" applyAlignment="1">
      <alignment horizontal="center" vertical="top"/>
    </xf>
    <xf numFmtId="4" fontId="14" fillId="4" borderId="16" xfId="2" quotePrefix="1" applyNumberFormat="1" applyFont="1" applyFill="1" applyBorder="1" applyAlignment="1">
      <alignment horizontal="center" vertical="top"/>
    </xf>
    <xf numFmtId="4" fontId="14" fillId="4" borderId="17" xfId="2" quotePrefix="1" applyNumberFormat="1" applyFont="1" applyFill="1" applyBorder="1" applyAlignment="1">
      <alignment horizontal="center" vertical="top"/>
    </xf>
    <xf numFmtId="4" fontId="14" fillId="4" borderId="19" xfId="2" quotePrefix="1" applyNumberFormat="1" applyFont="1" applyFill="1" applyBorder="1" applyAlignment="1">
      <alignment horizontal="center" vertical="top"/>
    </xf>
    <xf numFmtId="0" fontId="22" fillId="4" borderId="21" xfId="0" applyFont="1" applyFill="1" applyBorder="1" applyAlignment="1">
      <alignment horizontal="center" vertical="top"/>
    </xf>
    <xf numFmtId="0" fontId="22" fillId="4" borderId="10" xfId="0" applyFont="1" applyFill="1" applyBorder="1" applyAlignment="1">
      <alignment horizontal="center" vertical="top"/>
    </xf>
    <xf numFmtId="0" fontId="22" fillId="4" borderId="22" xfId="0" applyFont="1" applyFill="1" applyBorder="1" applyAlignment="1">
      <alignment horizontal="center" vertical="top"/>
    </xf>
    <xf numFmtId="4" fontId="14" fillId="4" borderId="21" xfId="2" quotePrefix="1" applyNumberFormat="1" applyFont="1" applyFill="1" applyBorder="1" applyAlignment="1">
      <alignment horizontal="center" vertical="top"/>
    </xf>
    <xf numFmtId="4" fontId="14" fillId="4" borderId="10" xfId="2" quotePrefix="1" applyNumberFormat="1" applyFont="1" applyFill="1" applyBorder="1" applyAlignment="1">
      <alignment horizontal="center" vertical="top"/>
    </xf>
    <xf numFmtId="4" fontId="14" fillId="4" borderId="11" xfId="2" quotePrefix="1" applyNumberFormat="1" applyFont="1" applyFill="1" applyBorder="1" applyAlignment="1">
      <alignment horizontal="center" vertical="top"/>
    </xf>
    <xf numFmtId="0" fontId="22" fillId="4" borderId="24" xfId="0" applyFont="1" applyFill="1" applyBorder="1" applyAlignment="1">
      <alignment horizontal="center" vertical="top"/>
    </xf>
    <xf numFmtId="0" fontId="22" fillId="4" borderId="25" xfId="0" applyFont="1" applyFill="1" applyBorder="1" applyAlignment="1">
      <alignment horizontal="center" vertical="top"/>
    </xf>
    <xf numFmtId="0" fontId="22" fillId="4" borderId="26" xfId="0" applyFont="1" applyFill="1" applyBorder="1" applyAlignment="1">
      <alignment horizontal="center" vertical="top"/>
    </xf>
    <xf numFmtId="4" fontId="14" fillId="4" borderId="24" xfId="2" quotePrefix="1" applyNumberFormat="1" applyFont="1" applyFill="1" applyBorder="1" applyAlignment="1">
      <alignment horizontal="center" vertical="top"/>
    </xf>
    <xf numFmtId="4" fontId="14" fillId="4" borderId="25" xfId="2" quotePrefix="1" applyNumberFormat="1" applyFont="1" applyFill="1" applyBorder="1" applyAlignment="1">
      <alignment horizontal="center" vertical="top"/>
    </xf>
    <xf numFmtId="4" fontId="14" fillId="4" borderId="27" xfId="2" quotePrefix="1" applyNumberFormat="1" applyFont="1" applyFill="1" applyBorder="1" applyAlignment="1">
      <alignment horizontal="center" vertical="top"/>
    </xf>
    <xf numFmtId="4" fontId="13" fillId="0" borderId="15" xfId="2" quotePrefix="1" applyNumberFormat="1" applyFont="1" applyFill="1" applyBorder="1" applyAlignment="1">
      <alignment horizontal="center" vertical="top"/>
    </xf>
    <xf numFmtId="39" fontId="13" fillId="0" borderId="9" xfId="2" applyFont="1" applyFill="1" applyBorder="1" applyAlignment="1">
      <alignment horizontal="center" vertical="top"/>
    </xf>
    <xf numFmtId="39" fontId="13" fillId="0" borderId="10" xfId="2" applyFont="1" applyFill="1" applyBorder="1" applyAlignment="1">
      <alignment horizontal="center" vertical="top"/>
    </xf>
    <xf numFmtId="39" fontId="13" fillId="0" borderId="11" xfId="2" applyFont="1" applyFill="1" applyBorder="1" applyAlignment="1">
      <alignment horizontal="center" vertical="top"/>
    </xf>
    <xf numFmtId="39" fontId="13" fillId="0" borderId="1" xfId="2" applyFont="1" applyFill="1" applyBorder="1" applyAlignment="1">
      <alignment horizontal="center" vertical="top"/>
    </xf>
    <xf numFmtId="39" fontId="13" fillId="0" borderId="2" xfId="2" applyFont="1" applyFill="1" applyBorder="1" applyAlignment="1">
      <alignment horizontal="center" vertical="top"/>
    </xf>
    <xf numFmtId="39" fontId="13" fillId="0" borderId="3" xfId="2" applyFont="1" applyFill="1" applyBorder="1" applyAlignment="1">
      <alignment horizontal="center" vertical="top"/>
    </xf>
    <xf numFmtId="39" fontId="13" fillId="0" borderId="9" xfId="2" applyFont="1" applyBorder="1" applyAlignment="1">
      <alignment horizontal="center" vertical="top"/>
    </xf>
    <xf numFmtId="39" fontId="13" fillId="0" borderId="10" xfId="2" applyFont="1" applyBorder="1" applyAlignment="1">
      <alignment horizontal="center" vertical="top"/>
    </xf>
    <xf numFmtId="39" fontId="13" fillId="0" borderId="11" xfId="2" applyFont="1" applyBorder="1" applyAlignment="1">
      <alignment horizontal="center" vertical="top"/>
    </xf>
    <xf numFmtId="39" fontId="13" fillId="0" borderId="6" xfId="2" applyFont="1" applyFill="1" applyBorder="1" applyAlignment="1">
      <alignment horizontal="center" vertical="top"/>
    </xf>
    <xf numFmtId="39" fontId="13" fillId="0" borderId="7" xfId="2" applyFont="1" applyFill="1" applyBorder="1" applyAlignment="1">
      <alignment horizontal="center" vertical="top"/>
    </xf>
    <xf numFmtId="39" fontId="13" fillId="0" borderId="8" xfId="2" applyFont="1" applyFill="1" applyBorder="1" applyAlignment="1">
      <alignment horizontal="center" vertical="top"/>
    </xf>
    <xf numFmtId="4" fontId="14" fillId="0" borderId="13" xfId="2" quotePrefix="1" applyNumberFormat="1" applyFont="1" applyFill="1" applyBorder="1" applyAlignment="1">
      <alignment horizontal="center" vertical="top"/>
    </xf>
    <xf numFmtId="4" fontId="14" fillId="0" borderId="14" xfId="2" quotePrefix="1" applyNumberFormat="1" applyFont="1" applyFill="1" applyBorder="1" applyAlignment="1">
      <alignment horizontal="center" vertical="top"/>
    </xf>
    <xf numFmtId="4" fontId="14" fillId="0" borderId="15" xfId="2" quotePrefix="1" applyNumberFormat="1" applyFont="1" applyFill="1" applyBorder="1" applyAlignment="1">
      <alignment horizontal="center" vertical="top"/>
    </xf>
    <xf numFmtId="39" fontId="14" fillId="0" borderId="0" xfId="2" applyFont="1" applyBorder="1" applyAlignment="1" applyProtection="1">
      <alignment horizontal="left" wrapText="1"/>
    </xf>
    <xf numFmtId="39" fontId="14" fillId="0" borderId="0" xfId="2" applyFont="1" applyBorder="1" applyAlignment="1" applyProtection="1">
      <alignment horizontal="left"/>
    </xf>
    <xf numFmtId="39" fontId="32" fillId="0" borderId="0" xfId="3" applyNumberFormat="1" applyFont="1" applyFill="1" applyBorder="1" applyAlignment="1" applyProtection="1">
      <alignment horizontal="left" vertical="center" wrapText="1"/>
      <protection hidden="1"/>
    </xf>
    <xf numFmtId="39" fontId="32" fillId="0" borderId="58" xfId="3" applyNumberFormat="1" applyFont="1" applyFill="1" applyBorder="1" applyAlignment="1" applyProtection="1">
      <alignment horizontal="left" vertical="center" wrapText="1"/>
      <protection hidden="1"/>
    </xf>
    <xf numFmtId="39" fontId="4" fillId="0" borderId="47" xfId="8" applyNumberFormat="1" applyFont="1" applyFill="1" applyBorder="1" applyAlignment="1" applyProtection="1">
      <alignment horizontal="center" vertical="center" wrapText="1"/>
      <protection hidden="1"/>
    </xf>
    <xf numFmtId="39" fontId="4" fillId="0" borderId="48" xfId="8" applyNumberFormat="1" applyFont="1" applyFill="1" applyBorder="1" applyAlignment="1" applyProtection="1">
      <alignment horizontal="center" vertical="center" wrapText="1"/>
      <protection hidden="1"/>
    </xf>
    <xf numFmtId="39" fontId="4" fillId="0" borderId="43" xfId="8" applyNumberFormat="1" applyFont="1" applyFill="1" applyBorder="1" applyAlignment="1" applyProtection="1">
      <alignment horizontal="center" vertical="center" wrapText="1"/>
      <protection hidden="1"/>
    </xf>
    <xf numFmtId="39" fontId="4" fillId="0" borderId="51" xfId="8" applyNumberFormat="1" applyFont="1" applyFill="1" applyBorder="1" applyAlignment="1" applyProtection="1">
      <alignment horizontal="center" vertical="center"/>
      <protection hidden="1"/>
    </xf>
    <xf numFmtId="39" fontId="4" fillId="0" borderId="52" xfId="8" applyNumberFormat="1" applyFont="1" applyFill="1" applyBorder="1" applyAlignment="1" applyProtection="1">
      <alignment horizontal="center" vertical="center"/>
      <protection hidden="1"/>
    </xf>
    <xf numFmtId="165" fontId="4" fillId="0" borderId="0" xfId="0" applyNumberFormat="1" applyFont="1" applyFill="1" applyBorder="1" applyAlignment="1" applyProtection="1">
      <alignment horizontal="center" vertical="center"/>
      <protection hidden="1"/>
    </xf>
    <xf numFmtId="39" fontId="4" fillId="0" borderId="40" xfId="8" applyNumberFormat="1" applyFont="1" applyFill="1" applyBorder="1" applyAlignment="1" applyProtection="1">
      <alignment horizontal="center" vertical="center"/>
      <protection hidden="1"/>
    </xf>
    <xf numFmtId="39" fontId="4" fillId="0" borderId="41" xfId="8" applyNumberFormat="1" applyFont="1" applyFill="1" applyBorder="1" applyAlignment="1" applyProtection="1">
      <alignment horizontal="center" vertical="center"/>
      <protection hidden="1"/>
    </xf>
    <xf numFmtId="39" fontId="4" fillId="0" borderId="35" xfId="0" applyNumberFormat="1" applyFont="1" applyFill="1" applyBorder="1" applyAlignment="1" applyProtection="1">
      <alignment horizontal="center" vertical="center"/>
      <protection hidden="1"/>
    </xf>
    <xf numFmtId="39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12" xfId="11" applyNumberFormat="1" applyFont="1" applyFill="1" applyBorder="1" applyAlignment="1" applyProtection="1">
      <alignment horizontal="center" vertical="center"/>
      <protection hidden="1"/>
    </xf>
    <xf numFmtId="165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3" xfId="0" applyNumberFormat="1" applyFont="1" applyFill="1" applyBorder="1" applyAlignment="1" applyProtection="1">
      <alignment horizontal="center" vertical="center"/>
      <protection hidden="1"/>
    </xf>
    <xf numFmtId="39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5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13" xfId="11" applyNumberFormat="1" applyFont="1" applyFill="1" applyBorder="1" applyAlignment="1" applyProtection="1">
      <alignment horizontal="center" vertical="center"/>
      <protection hidden="1"/>
    </xf>
    <xf numFmtId="10" fontId="4" fillId="0" borderId="15" xfId="11" applyNumberFormat="1" applyFont="1" applyFill="1" applyBorder="1" applyAlignment="1" applyProtection="1">
      <alignment horizontal="center" vertical="center"/>
      <protection hidden="1"/>
    </xf>
    <xf numFmtId="165" fontId="4" fillId="0" borderId="5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56" xfId="1" applyNumberFormat="1" applyFont="1" applyFill="1" applyBorder="1" applyAlignment="1" applyProtection="1">
      <alignment horizontal="center" vertical="center" wrapText="1"/>
      <protection hidden="1"/>
    </xf>
    <xf numFmtId="39" fontId="39" fillId="9" borderId="17" xfId="0" applyNumberFormat="1" applyFont="1" applyFill="1" applyBorder="1" applyAlignment="1" applyProtection="1">
      <alignment horizontal="center" vertical="center"/>
      <protection hidden="1"/>
    </xf>
    <xf numFmtId="39" fontId="39" fillId="9" borderId="18" xfId="0" applyNumberFormat="1" applyFont="1" applyFill="1" applyBorder="1" applyAlignment="1" applyProtection="1">
      <alignment horizontal="center" vertical="center"/>
      <protection hidden="1"/>
    </xf>
    <xf numFmtId="39" fontId="4" fillId="0" borderId="12" xfId="0" applyNumberFormat="1" applyFont="1" applyFill="1" applyBorder="1" applyAlignment="1" applyProtection="1">
      <alignment horizontal="center" vertical="center"/>
      <protection hidden="1"/>
    </xf>
    <xf numFmtId="39" fontId="4" fillId="7" borderId="29" xfId="0" applyNumberFormat="1" applyFont="1" applyFill="1" applyBorder="1" applyAlignment="1" applyProtection="1">
      <alignment horizontal="center" vertical="center"/>
      <protection hidden="1"/>
    </xf>
    <xf numFmtId="39" fontId="4" fillId="7" borderId="19" xfId="0" applyNumberFormat="1" applyFont="1" applyFill="1" applyBorder="1" applyAlignment="1" applyProtection="1">
      <alignment horizontal="center" vertical="center"/>
      <protection hidden="1"/>
    </xf>
    <xf numFmtId="39" fontId="4" fillId="7" borderId="18" xfId="0" applyNumberFormat="1" applyFont="1" applyFill="1" applyBorder="1" applyAlignment="1" applyProtection="1">
      <alignment horizontal="center" vertical="center"/>
      <protection hidden="1"/>
    </xf>
    <xf numFmtId="39" fontId="39" fillId="9" borderId="19" xfId="0" applyNumberFormat="1" applyFont="1" applyFill="1" applyBorder="1" applyAlignment="1" applyProtection="1">
      <alignment horizontal="center" vertical="center"/>
      <protection hidden="1"/>
    </xf>
    <xf numFmtId="39" fontId="39" fillId="9" borderId="29" xfId="0" applyNumberFormat="1" applyFont="1" applyFill="1" applyBorder="1" applyAlignment="1" applyProtection="1">
      <alignment horizontal="center" vertical="center"/>
      <protection hidden="1"/>
    </xf>
    <xf numFmtId="39" fontId="4" fillId="7" borderId="16" xfId="0" applyNumberFormat="1" applyFont="1" applyFill="1" applyBorder="1" applyAlignment="1" applyProtection="1">
      <alignment horizontal="center" vertical="center"/>
      <protection hidden="1"/>
    </xf>
    <xf numFmtId="39" fontId="4" fillId="7" borderId="17" xfId="0" applyNumberFormat="1" applyFont="1" applyFill="1" applyBorder="1" applyAlignment="1" applyProtection="1">
      <alignment horizontal="center" vertical="center"/>
      <protection hidden="1"/>
    </xf>
    <xf numFmtId="39" fontId="32" fillId="0" borderId="0" xfId="3" applyNumberFormat="1" applyFont="1" applyFill="1" applyBorder="1" applyAlignment="1" applyProtection="1">
      <alignment vertical="center" wrapText="1"/>
      <protection hidden="1"/>
    </xf>
    <xf numFmtId="39" fontId="32" fillId="0" borderId="7" xfId="3" applyNumberFormat="1" applyFont="1" applyFill="1" applyBorder="1" applyAlignment="1" applyProtection="1">
      <alignment horizontal="left" vertical="center" wrapText="1"/>
      <protection hidden="1"/>
    </xf>
  </cellXfs>
  <cellStyles count="13">
    <cellStyle name="Excel Built-in Normal" xfId="8"/>
    <cellStyle name="Normal" xfId="0" builtinId="0"/>
    <cellStyle name="Normal 2" xfId="3"/>
    <cellStyle name="Normal 2 2 2" xfId="9"/>
    <cellStyle name="Normal 3" xfId="2"/>
    <cellStyle name="Normal_#" xfId="4"/>
    <cellStyle name="Porcentagem" xfId="11" builtinId="5"/>
    <cellStyle name="Porcentagem 2" xfId="5"/>
    <cellStyle name="Porcentagem 3 4" xfId="12"/>
    <cellStyle name="Separador de milhares 2" xfId="6"/>
    <cellStyle name="Separador de milhares 2 5" xfId="10"/>
    <cellStyle name="Vírgula" xfId="1" builtinId="3"/>
    <cellStyle name="Vírgula 2" xfId="7"/>
  </cellStyles>
  <dxfs count="29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CRONOGRAMA!$E$68</c:f>
              <c:strCache>
                <c:ptCount val="1"/>
                <c:pt idx="0">
                  <c:v>Desembolso mensal (%)</c:v>
                </c:pt>
              </c:strCache>
            </c:strRef>
          </c:tx>
          <c:xVal>
            <c:strRef>
              <c:f>CRONOGRAMA!$D$69:$D$76</c:f>
              <c:strCache>
                <c:ptCount val="8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</c:strCache>
            </c:strRef>
          </c:xVal>
          <c:yVal>
            <c:numRef>
              <c:f>CRONOGRAMA!$E$69:$E$76</c:f>
              <c:numCache>
                <c:formatCode>#,##0.00_);\(#,##0.00\)</c:formatCode>
                <c:ptCount val="8"/>
                <c:pt idx="0">
                  <c:v>0.1034969309467727</c:v>
                </c:pt>
                <c:pt idx="1">
                  <c:v>0.10554798697516564</c:v>
                </c:pt>
                <c:pt idx="2">
                  <c:v>0.12174600861792796</c:v>
                </c:pt>
                <c:pt idx="3">
                  <c:v>0.13923799180324989</c:v>
                </c:pt>
                <c:pt idx="4">
                  <c:v>0.15860686648824529</c:v>
                </c:pt>
                <c:pt idx="5">
                  <c:v>0.14808211727625381</c:v>
                </c:pt>
                <c:pt idx="6">
                  <c:v>0.11926080835107138</c:v>
                </c:pt>
                <c:pt idx="7">
                  <c:v>0.10402128954131315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66496"/>
        <c:axId val="88668032"/>
      </c:scatterChart>
      <c:valAx>
        <c:axId val="8866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88668032"/>
        <c:crosses val="autoZero"/>
        <c:crossBetween val="midCat"/>
      </c:valAx>
      <c:valAx>
        <c:axId val="88668032"/>
        <c:scaling>
          <c:orientation val="minMax"/>
        </c:scaling>
        <c:delete val="0"/>
        <c:axPos val="l"/>
        <c:majorGridlines/>
        <c:numFmt formatCode="#,##0.00_);\(#,##0.00\)" sourceLinked="1"/>
        <c:majorTickMark val="out"/>
        <c:minorTickMark val="none"/>
        <c:tickLblPos val="nextTo"/>
        <c:crossAx val="88666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CRONOGRAMA!$M$68</c:f>
              <c:strCache>
                <c:ptCount val="1"/>
                <c:pt idx="0">
                  <c:v>Curva S</c:v>
                </c:pt>
              </c:strCache>
            </c:strRef>
          </c:tx>
          <c:xVal>
            <c:strRef>
              <c:f>CRONOGRAMA!$L$69:$L$76</c:f>
              <c:strCache>
                <c:ptCount val="8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</c:strCache>
            </c:strRef>
          </c:xVal>
          <c:yVal>
            <c:numRef>
              <c:f>CRONOGRAMA!$M$69:$M$76</c:f>
              <c:numCache>
                <c:formatCode>#,##0.00_);\(#,##0.00\)</c:formatCode>
                <c:ptCount val="8"/>
                <c:pt idx="0">
                  <c:v>0.1034969309467727</c:v>
                </c:pt>
                <c:pt idx="1">
                  <c:v>0.20904491792193833</c:v>
                </c:pt>
                <c:pt idx="2">
                  <c:v>0.3307909265398663</c:v>
                </c:pt>
                <c:pt idx="3">
                  <c:v>0.47002891834311622</c:v>
                </c:pt>
                <c:pt idx="4">
                  <c:v>0.62863578483136151</c:v>
                </c:pt>
                <c:pt idx="5">
                  <c:v>0.77671790210761527</c:v>
                </c:pt>
                <c:pt idx="6">
                  <c:v>0.89597871045868671</c:v>
                </c:pt>
                <c:pt idx="7">
                  <c:v>0.99999999999999989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39072"/>
        <c:axId val="89140608"/>
      </c:scatterChart>
      <c:valAx>
        <c:axId val="89139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9140608"/>
        <c:crosses val="autoZero"/>
        <c:crossBetween val="midCat"/>
      </c:valAx>
      <c:valAx>
        <c:axId val="89140608"/>
        <c:scaling>
          <c:orientation val="minMax"/>
        </c:scaling>
        <c:delete val="0"/>
        <c:axPos val="l"/>
        <c:majorGridlines/>
        <c:numFmt formatCode="#,##0.00_);\(#,##0.00\)" sourceLinked="1"/>
        <c:majorTickMark val="out"/>
        <c:minorTickMark val="none"/>
        <c:tickLblPos val="nextTo"/>
        <c:crossAx val="89139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4333875</xdr:colOff>
      <xdr:row>173</xdr:row>
      <xdr:rowOff>166687</xdr:rowOff>
    </xdr:from>
    <xdr:ext cx="184731" cy="264560"/>
    <xdr:sp macro="" textlink="">
      <xdr:nvSpPr>
        <xdr:cNvPr id="2" name="CaixaDeTexto 1"/>
        <xdr:cNvSpPr txBox="1"/>
      </xdr:nvSpPr>
      <xdr:spPr>
        <a:xfrm>
          <a:off x="3019425" y="514397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4333875</xdr:colOff>
      <xdr:row>352</xdr:row>
      <xdr:rowOff>166687</xdr:rowOff>
    </xdr:from>
    <xdr:ext cx="184731" cy="264560"/>
    <xdr:sp macro="" textlink="">
      <xdr:nvSpPr>
        <xdr:cNvPr id="3" name="CaixaDeTexto 2"/>
        <xdr:cNvSpPr txBox="1"/>
      </xdr:nvSpPr>
      <xdr:spPr>
        <a:xfrm>
          <a:off x="4191000" y="3721893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</xdr:colOff>
      <xdr:row>64</xdr:row>
      <xdr:rowOff>57150</xdr:rowOff>
    </xdr:from>
    <xdr:to>
      <xdr:col>7</xdr:col>
      <xdr:colOff>746125</xdr:colOff>
      <xdr:row>78</xdr:row>
      <xdr:rowOff>101600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1111250</xdr:colOff>
      <xdr:row>64</xdr:row>
      <xdr:rowOff>41275</xdr:rowOff>
    </xdr:from>
    <xdr:to>
      <xdr:col>13</xdr:col>
      <xdr:colOff>174625</xdr:colOff>
      <xdr:row>78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0"/>
  <sheetViews>
    <sheetView topLeftCell="A94" workbookViewId="0">
      <selection activeCell="B125" sqref="B125"/>
    </sheetView>
  </sheetViews>
  <sheetFormatPr defaultRowHeight="15" x14ac:dyDescent="0.25"/>
  <cols>
    <col min="1" max="1" width="3" customWidth="1"/>
    <col min="2" max="2" width="12.5703125" bestFit="1" customWidth="1"/>
    <col min="3" max="3" width="33" bestFit="1" customWidth="1"/>
    <col min="4" max="4" width="9.140625" style="13"/>
    <col min="5" max="5" width="8.140625" style="13" bestFit="1" customWidth="1"/>
    <col min="6" max="6" width="7" style="13" bestFit="1" customWidth="1"/>
    <col min="7" max="7" width="4.42578125" bestFit="1" customWidth="1"/>
    <col min="8" max="8" width="9.140625" style="13"/>
  </cols>
  <sheetData>
    <row r="1" spans="2:8" x14ac:dyDescent="0.25">
      <c r="B1" s="40" t="s">
        <v>96</v>
      </c>
    </row>
    <row r="3" spans="2:8" x14ac:dyDescent="0.25">
      <c r="B3" t="s">
        <v>2</v>
      </c>
      <c r="C3" t="s">
        <v>1</v>
      </c>
    </row>
    <row r="4" spans="2:8" x14ac:dyDescent="0.25">
      <c r="B4" s="4"/>
      <c r="C4" s="5" t="s">
        <v>0</v>
      </c>
      <c r="D4" s="16" t="s">
        <v>3</v>
      </c>
      <c r="E4" s="16" t="s">
        <v>4</v>
      </c>
      <c r="F4" s="16"/>
      <c r="G4" s="5" t="s">
        <v>5</v>
      </c>
      <c r="H4" s="17" t="s">
        <v>6</v>
      </c>
    </row>
    <row r="5" spans="2:8" x14ac:dyDescent="0.25">
      <c r="B5" s="1" t="s">
        <v>105</v>
      </c>
      <c r="C5" s="2" t="s">
        <v>7</v>
      </c>
      <c r="D5" s="15">
        <v>3.94</v>
      </c>
      <c r="E5" s="15">
        <v>2.2000000000000002</v>
      </c>
      <c r="F5" s="15"/>
      <c r="G5" s="2" t="s">
        <v>10</v>
      </c>
      <c r="H5" s="18">
        <f>D5*E5</f>
        <v>8.668000000000001</v>
      </c>
    </row>
    <row r="6" spans="2:8" x14ac:dyDescent="0.25">
      <c r="B6" s="1" t="s">
        <v>105</v>
      </c>
      <c r="C6" s="2" t="s">
        <v>8</v>
      </c>
      <c r="D6" s="15">
        <v>9.9700000000000006</v>
      </c>
      <c r="E6" s="15">
        <v>2.2000000000000002</v>
      </c>
      <c r="F6" s="15"/>
      <c r="G6" s="2" t="s">
        <v>10</v>
      </c>
      <c r="H6" s="18">
        <f t="shared" ref="H6:H24" si="0">D6*E6</f>
        <v>21.934000000000005</v>
      </c>
    </row>
    <row r="7" spans="2:8" x14ac:dyDescent="0.25">
      <c r="B7" s="1" t="s">
        <v>105</v>
      </c>
      <c r="C7" s="2" t="s">
        <v>9</v>
      </c>
      <c r="D7" s="15">
        <v>1.38</v>
      </c>
      <c r="E7" s="15">
        <v>2.2000000000000002</v>
      </c>
      <c r="F7" s="15"/>
      <c r="G7" s="2" t="s">
        <v>10</v>
      </c>
      <c r="H7" s="18">
        <f t="shared" si="0"/>
        <v>3.036</v>
      </c>
    </row>
    <row r="8" spans="2:8" x14ac:dyDescent="0.25">
      <c r="B8" s="1"/>
      <c r="C8" s="2"/>
      <c r="D8" s="15"/>
      <c r="E8" s="15"/>
      <c r="F8" s="15"/>
      <c r="G8" s="2"/>
      <c r="H8" s="18"/>
    </row>
    <row r="9" spans="2:8" x14ac:dyDescent="0.25">
      <c r="B9" s="1" t="s">
        <v>11</v>
      </c>
      <c r="C9" s="2" t="s">
        <v>7</v>
      </c>
      <c r="D9" s="15">
        <v>9.31</v>
      </c>
      <c r="E9" s="15">
        <v>2.2000000000000002</v>
      </c>
      <c r="F9" s="15"/>
      <c r="G9" s="2" t="s">
        <v>10</v>
      </c>
      <c r="H9" s="18">
        <f t="shared" si="0"/>
        <v>20.482000000000003</v>
      </c>
    </row>
    <row r="10" spans="2:8" x14ac:dyDescent="0.25">
      <c r="B10" s="1" t="s">
        <v>11</v>
      </c>
      <c r="C10" s="2" t="s">
        <v>8</v>
      </c>
      <c r="D10" s="15">
        <v>9.31</v>
      </c>
      <c r="E10" s="15">
        <v>2.2000000000000002</v>
      </c>
      <c r="F10" s="15"/>
      <c r="G10" s="2" t="s">
        <v>10</v>
      </c>
      <c r="H10" s="18">
        <f t="shared" si="0"/>
        <v>20.482000000000003</v>
      </c>
    </row>
    <row r="11" spans="2:8" x14ac:dyDescent="0.25">
      <c r="B11" s="1" t="s">
        <v>11</v>
      </c>
      <c r="C11" s="2" t="s">
        <v>9</v>
      </c>
      <c r="D11" s="15">
        <v>3.18</v>
      </c>
      <c r="E11" s="15">
        <v>2.2000000000000002</v>
      </c>
      <c r="F11" s="15"/>
      <c r="G11" s="2" t="s">
        <v>10</v>
      </c>
      <c r="H11" s="18">
        <f t="shared" si="0"/>
        <v>6.9960000000000013</v>
      </c>
    </row>
    <row r="12" spans="2:8" x14ac:dyDescent="0.25">
      <c r="B12" s="1" t="s">
        <v>11</v>
      </c>
      <c r="C12" s="2" t="s">
        <v>12</v>
      </c>
      <c r="D12" s="15">
        <v>1.5</v>
      </c>
      <c r="E12" s="15">
        <v>2.2000000000000002</v>
      </c>
      <c r="F12" s="15"/>
      <c r="G12" s="2" t="s">
        <v>10</v>
      </c>
      <c r="H12" s="18">
        <f t="shared" si="0"/>
        <v>3.3000000000000003</v>
      </c>
    </row>
    <row r="13" spans="2:8" x14ac:dyDescent="0.25">
      <c r="B13" s="1" t="s">
        <v>11</v>
      </c>
      <c r="C13" s="2" t="s">
        <v>13</v>
      </c>
      <c r="D13" s="15">
        <v>1.5</v>
      </c>
      <c r="E13" s="15">
        <v>2.2000000000000002</v>
      </c>
      <c r="F13" s="15"/>
      <c r="G13" s="2" t="s">
        <v>10</v>
      </c>
      <c r="H13" s="18">
        <f t="shared" si="0"/>
        <v>3.3000000000000003</v>
      </c>
    </row>
    <row r="14" spans="2:8" x14ac:dyDescent="0.25">
      <c r="B14" s="1" t="s">
        <v>11</v>
      </c>
      <c r="C14" s="2" t="s">
        <v>14</v>
      </c>
      <c r="D14" s="15">
        <v>4.34</v>
      </c>
      <c r="E14" s="15">
        <v>2.2000000000000002</v>
      </c>
      <c r="F14" s="15"/>
      <c r="G14" s="2" t="s">
        <v>10</v>
      </c>
      <c r="H14" s="18">
        <f t="shared" si="0"/>
        <v>9.548</v>
      </c>
    </row>
    <row r="15" spans="2:8" x14ac:dyDescent="0.25">
      <c r="B15" s="1" t="s">
        <v>11</v>
      </c>
      <c r="C15" s="2" t="s">
        <v>15</v>
      </c>
      <c r="D15" s="15">
        <v>4.34</v>
      </c>
      <c r="E15" s="15">
        <v>2.2000000000000002</v>
      </c>
      <c r="F15" s="15"/>
      <c r="G15" s="2" t="s">
        <v>10</v>
      </c>
      <c r="H15" s="18">
        <f t="shared" si="0"/>
        <v>9.548</v>
      </c>
    </row>
    <row r="16" spans="2:8" x14ac:dyDescent="0.25">
      <c r="B16" s="1"/>
      <c r="C16" s="2"/>
      <c r="D16" s="15"/>
      <c r="E16" s="15"/>
      <c r="F16" s="15"/>
      <c r="G16" s="2"/>
      <c r="H16" s="18"/>
    </row>
    <row r="17" spans="2:8" x14ac:dyDescent="0.25">
      <c r="B17" s="1" t="s">
        <v>16</v>
      </c>
      <c r="C17" s="2" t="s">
        <v>7</v>
      </c>
      <c r="D17" s="15">
        <v>5.65</v>
      </c>
      <c r="E17" s="15">
        <v>2.2000000000000002</v>
      </c>
      <c r="F17" s="15"/>
      <c r="G17" s="2" t="s">
        <v>10</v>
      </c>
      <c r="H17" s="18">
        <f t="shared" si="0"/>
        <v>12.430000000000001</v>
      </c>
    </row>
    <row r="18" spans="2:8" x14ac:dyDescent="0.25">
      <c r="B18" s="1" t="s">
        <v>16</v>
      </c>
      <c r="C18" s="2" t="s">
        <v>8</v>
      </c>
      <c r="D18" s="15">
        <v>4.26</v>
      </c>
      <c r="E18" s="15">
        <v>2.2000000000000002</v>
      </c>
      <c r="F18" s="15"/>
      <c r="G18" s="2" t="s">
        <v>10</v>
      </c>
      <c r="H18" s="18">
        <f t="shared" si="0"/>
        <v>9.3719999999999999</v>
      </c>
    </row>
    <row r="19" spans="2:8" x14ac:dyDescent="0.25">
      <c r="B19" s="1" t="s">
        <v>16</v>
      </c>
      <c r="C19" s="2" t="s">
        <v>9</v>
      </c>
      <c r="D19" s="15">
        <v>1.47</v>
      </c>
      <c r="E19" s="15">
        <v>2.2000000000000002</v>
      </c>
      <c r="F19" s="15"/>
      <c r="G19" s="2" t="s">
        <v>10</v>
      </c>
      <c r="H19" s="18">
        <f t="shared" si="0"/>
        <v>3.234</v>
      </c>
    </row>
    <row r="20" spans="2:8" x14ac:dyDescent="0.25">
      <c r="B20" s="1" t="s">
        <v>16</v>
      </c>
      <c r="C20" s="2" t="s">
        <v>12</v>
      </c>
      <c r="D20" s="15">
        <v>4.32</v>
      </c>
      <c r="E20" s="15">
        <v>2.2000000000000002</v>
      </c>
      <c r="F20" s="15"/>
      <c r="G20" s="2" t="s">
        <v>10</v>
      </c>
      <c r="H20" s="18">
        <f t="shared" si="0"/>
        <v>9.5040000000000013</v>
      </c>
    </row>
    <row r="21" spans="2:8" x14ac:dyDescent="0.25">
      <c r="B21" s="1" t="s">
        <v>16</v>
      </c>
      <c r="C21" s="2" t="s">
        <v>13</v>
      </c>
      <c r="D21" s="15">
        <v>2.8</v>
      </c>
      <c r="E21" s="15">
        <v>2.2000000000000002</v>
      </c>
      <c r="F21" s="15"/>
      <c r="G21" s="2" t="s">
        <v>10</v>
      </c>
      <c r="H21" s="18">
        <f t="shared" si="0"/>
        <v>6.16</v>
      </c>
    </row>
    <row r="22" spans="2:8" x14ac:dyDescent="0.25">
      <c r="B22" s="1" t="s">
        <v>16</v>
      </c>
      <c r="C22" s="2" t="s">
        <v>14</v>
      </c>
      <c r="D22" s="15">
        <v>3.15</v>
      </c>
      <c r="E22" s="15">
        <v>2.2000000000000002</v>
      </c>
      <c r="F22" s="15"/>
      <c r="G22" s="2" t="s">
        <v>10</v>
      </c>
      <c r="H22" s="18">
        <f t="shared" si="0"/>
        <v>6.9300000000000006</v>
      </c>
    </row>
    <row r="23" spans="2:8" x14ac:dyDescent="0.25">
      <c r="B23" s="1" t="s">
        <v>16</v>
      </c>
      <c r="C23" s="2" t="s">
        <v>15</v>
      </c>
      <c r="D23" s="15">
        <v>8.5</v>
      </c>
      <c r="E23" s="15">
        <v>2.2000000000000002</v>
      </c>
      <c r="F23" s="15"/>
      <c r="G23" s="2" t="s">
        <v>10</v>
      </c>
      <c r="H23" s="18">
        <f t="shared" si="0"/>
        <v>18.700000000000003</v>
      </c>
    </row>
    <row r="24" spans="2:8" x14ac:dyDescent="0.25">
      <c r="B24" s="1" t="s">
        <v>16</v>
      </c>
      <c r="C24" s="2" t="s">
        <v>17</v>
      </c>
      <c r="D24" s="15">
        <v>7.48</v>
      </c>
      <c r="E24" s="15">
        <v>2.2000000000000002</v>
      </c>
      <c r="F24" s="15"/>
      <c r="G24" s="2" t="s">
        <v>10</v>
      </c>
      <c r="H24" s="18">
        <f t="shared" si="0"/>
        <v>16.456000000000003</v>
      </c>
    </row>
    <row r="25" spans="2:8" x14ac:dyDescent="0.25">
      <c r="B25" s="6" t="s">
        <v>23</v>
      </c>
      <c r="C25" s="7"/>
      <c r="D25" s="19"/>
      <c r="E25" s="19"/>
      <c r="F25" s="19"/>
      <c r="G25" s="7"/>
      <c r="H25" s="20">
        <f>SUM(H5:H24)</f>
        <v>190.08000000000004</v>
      </c>
    </row>
    <row r="27" spans="2:8" x14ac:dyDescent="0.25">
      <c r="B27" s="4"/>
      <c r="C27" s="5" t="s">
        <v>18</v>
      </c>
      <c r="D27" s="16" t="s">
        <v>3</v>
      </c>
      <c r="E27" s="16" t="s">
        <v>56</v>
      </c>
      <c r="F27" s="16"/>
      <c r="G27" s="5" t="s">
        <v>5</v>
      </c>
      <c r="H27" s="17" t="s">
        <v>6</v>
      </c>
    </row>
    <row r="28" spans="2:8" x14ac:dyDescent="0.25">
      <c r="B28" s="1" t="s">
        <v>11</v>
      </c>
      <c r="C28" s="2" t="s">
        <v>19</v>
      </c>
      <c r="D28" s="15">
        <v>0.6</v>
      </c>
      <c r="E28" s="15">
        <v>1.4</v>
      </c>
      <c r="F28" s="15"/>
      <c r="G28" s="2" t="s">
        <v>10</v>
      </c>
      <c r="H28" s="18">
        <f>D28*E28</f>
        <v>0.84</v>
      </c>
    </row>
    <row r="29" spans="2:8" x14ac:dyDescent="0.25">
      <c r="B29" s="1"/>
      <c r="C29" s="2"/>
      <c r="D29" s="15"/>
      <c r="E29" s="15"/>
      <c r="F29" s="15"/>
      <c r="G29" s="2"/>
      <c r="H29" s="18"/>
    </row>
    <row r="30" spans="2:8" x14ac:dyDescent="0.25">
      <c r="B30" s="1" t="s">
        <v>16</v>
      </c>
      <c r="C30" s="2" t="s">
        <v>20</v>
      </c>
      <c r="D30" s="15">
        <v>0.6</v>
      </c>
      <c r="E30" s="15">
        <v>1.4</v>
      </c>
      <c r="F30" s="15"/>
      <c r="G30" s="2" t="s">
        <v>10</v>
      </c>
      <c r="H30" s="18">
        <f>D30*E30</f>
        <v>0.84</v>
      </c>
    </row>
    <row r="31" spans="2:8" x14ac:dyDescent="0.25">
      <c r="B31" s="6" t="s">
        <v>23</v>
      </c>
      <c r="C31" s="7"/>
      <c r="D31" s="19"/>
      <c r="E31" s="19"/>
      <c r="F31" s="19"/>
      <c r="G31" s="7"/>
      <c r="H31" s="20">
        <f>SUM(H28:H30)</f>
        <v>1.68</v>
      </c>
    </row>
    <row r="33" spans="2:8" x14ac:dyDescent="0.25">
      <c r="B33" s="14"/>
      <c r="C33" s="5" t="s">
        <v>22</v>
      </c>
      <c r="D33" s="16" t="s">
        <v>3</v>
      </c>
      <c r="E33" s="16" t="s">
        <v>4</v>
      </c>
      <c r="F33" s="16"/>
      <c r="G33" s="5" t="s">
        <v>5</v>
      </c>
      <c r="H33" s="17" t="s">
        <v>6</v>
      </c>
    </row>
    <row r="34" spans="2:8" x14ac:dyDescent="0.25">
      <c r="B34" s="1" t="s">
        <v>105</v>
      </c>
      <c r="C34" s="2" t="s">
        <v>7</v>
      </c>
      <c r="D34" s="15">
        <v>3.84</v>
      </c>
      <c r="E34" s="15">
        <v>2.2000000000000002</v>
      </c>
      <c r="F34" s="15"/>
      <c r="G34" s="2" t="s">
        <v>10</v>
      </c>
      <c r="H34" s="18">
        <f>D34*E34</f>
        <v>8.4480000000000004</v>
      </c>
    </row>
    <row r="35" spans="2:8" x14ac:dyDescent="0.25">
      <c r="B35" s="1"/>
      <c r="C35" s="2"/>
      <c r="D35" s="15"/>
      <c r="E35" s="15"/>
      <c r="F35" s="15"/>
      <c r="G35" s="2"/>
      <c r="H35" s="18"/>
    </row>
    <row r="36" spans="2:8" x14ac:dyDescent="0.25">
      <c r="B36" s="1" t="s">
        <v>16</v>
      </c>
      <c r="C36" s="36" t="s">
        <v>7</v>
      </c>
      <c r="D36" s="39">
        <v>3.66</v>
      </c>
      <c r="E36" s="39">
        <v>2.2000000000000002</v>
      </c>
      <c r="F36" s="39"/>
      <c r="G36" s="36" t="s">
        <v>10</v>
      </c>
      <c r="H36" s="18">
        <f>D36*E36</f>
        <v>8.0520000000000014</v>
      </c>
    </row>
    <row r="37" spans="2:8" x14ac:dyDescent="0.25">
      <c r="B37" s="1" t="s">
        <v>16</v>
      </c>
      <c r="C37" s="2" t="s">
        <v>8</v>
      </c>
      <c r="D37" s="15">
        <v>2.0299999999999998</v>
      </c>
      <c r="E37" s="15">
        <v>2.2000000000000002</v>
      </c>
      <c r="F37" s="15"/>
      <c r="G37" s="2" t="s">
        <v>10</v>
      </c>
      <c r="H37" s="18">
        <f>D37*E37</f>
        <v>4.4660000000000002</v>
      </c>
    </row>
    <row r="38" spans="2:8" x14ac:dyDescent="0.25">
      <c r="B38" s="1" t="s">
        <v>16</v>
      </c>
      <c r="C38" s="2" t="s">
        <v>9</v>
      </c>
      <c r="D38" s="15">
        <v>2.2799999999999998</v>
      </c>
      <c r="E38" s="15">
        <v>2.2000000000000002</v>
      </c>
      <c r="F38" s="15"/>
      <c r="G38" s="2" t="s">
        <v>10</v>
      </c>
      <c r="H38" s="18">
        <f>D38*E38</f>
        <v>5.016</v>
      </c>
    </row>
    <row r="39" spans="2:8" x14ac:dyDescent="0.25">
      <c r="B39" s="6" t="s">
        <v>23</v>
      </c>
      <c r="C39" s="7"/>
      <c r="D39" s="19"/>
      <c r="E39" s="19"/>
      <c r="F39" s="19"/>
      <c r="G39" s="7"/>
      <c r="H39" s="20">
        <f>SUM(H34:H38)</f>
        <v>25.981999999999999</v>
      </c>
    </row>
    <row r="41" spans="2:8" x14ac:dyDescent="0.25">
      <c r="B41" s="14"/>
      <c r="C41" s="5" t="s">
        <v>21</v>
      </c>
      <c r="D41" s="16" t="s">
        <v>3</v>
      </c>
      <c r="E41" s="16" t="s">
        <v>4</v>
      </c>
      <c r="F41" s="16"/>
      <c r="G41" s="5" t="s">
        <v>5</v>
      </c>
      <c r="H41" s="17" t="s">
        <v>6</v>
      </c>
    </row>
    <row r="42" spans="2:8" x14ac:dyDescent="0.25">
      <c r="B42" s="1" t="s">
        <v>105</v>
      </c>
      <c r="C42" s="2" t="s">
        <v>7</v>
      </c>
      <c r="D42" s="15">
        <v>2.52</v>
      </c>
      <c r="E42" s="15">
        <v>3.77</v>
      </c>
      <c r="F42" s="15"/>
      <c r="G42" s="2" t="s">
        <v>10</v>
      </c>
      <c r="H42" s="18">
        <f t="shared" ref="H42:H49" si="1">D42*E42</f>
        <v>9.5004000000000008</v>
      </c>
    </row>
    <row r="43" spans="2:8" x14ac:dyDescent="0.25">
      <c r="B43" s="1" t="s">
        <v>105</v>
      </c>
      <c r="C43" s="2" t="s">
        <v>8</v>
      </c>
      <c r="D43" s="15">
        <v>4.4800000000000004</v>
      </c>
      <c r="E43" s="15">
        <v>3.77</v>
      </c>
      <c r="F43" s="15"/>
      <c r="G43" s="2" t="s">
        <v>10</v>
      </c>
      <c r="H43" s="18">
        <f t="shared" si="1"/>
        <v>16.889600000000002</v>
      </c>
    </row>
    <row r="44" spans="2:8" x14ac:dyDescent="0.25">
      <c r="B44" s="1" t="s">
        <v>105</v>
      </c>
      <c r="C44" s="2" t="s">
        <v>9</v>
      </c>
      <c r="D44" s="15">
        <v>6.13</v>
      </c>
      <c r="E44" s="15">
        <v>3.77</v>
      </c>
      <c r="F44" s="15"/>
      <c r="G44" s="2" t="s">
        <v>10</v>
      </c>
      <c r="H44" s="18">
        <f t="shared" si="1"/>
        <v>23.110099999999999</v>
      </c>
    </row>
    <row r="45" spans="2:8" x14ac:dyDescent="0.25">
      <c r="B45" s="1"/>
      <c r="C45" s="2"/>
      <c r="D45" s="15"/>
      <c r="E45" s="15"/>
      <c r="F45" s="15"/>
      <c r="G45" s="2"/>
      <c r="H45" s="18"/>
    </row>
    <row r="46" spans="2:8" x14ac:dyDescent="0.25">
      <c r="B46" s="1" t="s">
        <v>11</v>
      </c>
      <c r="C46" s="2" t="s">
        <v>7</v>
      </c>
      <c r="D46" s="15">
        <v>9.31</v>
      </c>
      <c r="E46" s="15">
        <v>3.77</v>
      </c>
      <c r="F46" s="15"/>
      <c r="G46" s="2" t="s">
        <v>10</v>
      </c>
      <c r="H46" s="18">
        <f t="shared" si="1"/>
        <v>35.098700000000001</v>
      </c>
    </row>
    <row r="47" spans="2:8" x14ac:dyDescent="0.25">
      <c r="B47" s="1" t="s">
        <v>11</v>
      </c>
      <c r="C47" s="2" t="s">
        <v>8</v>
      </c>
      <c r="D47" s="15">
        <v>9.31</v>
      </c>
      <c r="E47" s="15">
        <v>3.77</v>
      </c>
      <c r="F47" s="15"/>
      <c r="G47" s="2" t="s">
        <v>10</v>
      </c>
      <c r="H47" s="18">
        <f t="shared" si="1"/>
        <v>35.098700000000001</v>
      </c>
    </row>
    <row r="48" spans="2:8" x14ac:dyDescent="0.25">
      <c r="B48" s="1" t="s">
        <v>11</v>
      </c>
      <c r="C48" s="2" t="s">
        <v>9</v>
      </c>
      <c r="D48" s="15">
        <v>4.4800000000000004</v>
      </c>
      <c r="E48" s="15">
        <v>3.77</v>
      </c>
      <c r="F48" s="15"/>
      <c r="G48" s="2" t="s">
        <v>10</v>
      </c>
      <c r="H48" s="18">
        <f t="shared" si="1"/>
        <v>16.889600000000002</v>
      </c>
    </row>
    <row r="49" spans="2:8" x14ac:dyDescent="0.25">
      <c r="B49" s="1" t="s">
        <v>11</v>
      </c>
      <c r="C49" s="2" t="s">
        <v>12</v>
      </c>
      <c r="D49" s="15">
        <v>4.4800000000000004</v>
      </c>
      <c r="E49" s="15">
        <v>3.77</v>
      </c>
      <c r="F49" s="15"/>
      <c r="G49" s="2" t="s">
        <v>10</v>
      </c>
      <c r="H49" s="18">
        <f t="shared" si="1"/>
        <v>16.889600000000002</v>
      </c>
    </row>
    <row r="50" spans="2:8" x14ac:dyDescent="0.25">
      <c r="B50" s="1"/>
      <c r="C50" s="2"/>
      <c r="D50" s="15"/>
      <c r="E50" s="15"/>
      <c r="F50" s="15"/>
      <c r="G50" s="2"/>
      <c r="H50" s="18"/>
    </row>
    <row r="51" spans="2:8" x14ac:dyDescent="0.25">
      <c r="B51" s="1" t="s">
        <v>16</v>
      </c>
      <c r="C51" s="2" t="s">
        <v>7</v>
      </c>
      <c r="D51" s="15">
        <v>10.5</v>
      </c>
      <c r="E51" s="15">
        <v>3.77</v>
      </c>
      <c r="F51" s="15"/>
      <c r="G51" s="2" t="s">
        <v>10</v>
      </c>
      <c r="H51" s="18">
        <f>D51*E51</f>
        <v>39.585000000000001</v>
      </c>
    </row>
    <row r="52" spans="2:8" x14ac:dyDescent="0.25">
      <c r="B52" s="1" t="s">
        <v>16</v>
      </c>
      <c r="C52" s="2" t="s">
        <v>8</v>
      </c>
      <c r="D52" s="15">
        <v>2.98</v>
      </c>
      <c r="E52" s="15">
        <v>3.77</v>
      </c>
      <c r="F52" s="15"/>
      <c r="G52" s="2" t="s">
        <v>10</v>
      </c>
      <c r="H52" s="18">
        <f>D52*E52</f>
        <v>11.2346</v>
      </c>
    </row>
    <row r="53" spans="2:8" x14ac:dyDescent="0.25">
      <c r="B53" s="1" t="s">
        <v>16</v>
      </c>
      <c r="C53" s="2" t="s">
        <v>9</v>
      </c>
      <c r="D53" s="15">
        <v>5.63</v>
      </c>
      <c r="E53" s="15">
        <v>3.77</v>
      </c>
      <c r="F53" s="15"/>
      <c r="G53" s="2" t="s">
        <v>10</v>
      </c>
      <c r="H53" s="18">
        <f>D53*E53</f>
        <v>21.225100000000001</v>
      </c>
    </row>
    <row r="54" spans="2:8" x14ac:dyDescent="0.25">
      <c r="B54" s="6" t="s">
        <v>23</v>
      </c>
      <c r="C54" s="7"/>
      <c r="D54" s="19"/>
      <c r="E54" s="19"/>
      <c r="F54" s="19"/>
      <c r="G54" s="7"/>
      <c r="H54" s="20">
        <f>SUM(H42:H53)</f>
        <v>225.52140000000003</v>
      </c>
    </row>
    <row r="56" spans="2:8" x14ac:dyDescent="0.25">
      <c r="B56" s="4"/>
      <c r="C56" s="5" t="s">
        <v>24</v>
      </c>
      <c r="D56" s="16" t="s">
        <v>3</v>
      </c>
      <c r="E56" s="16" t="s">
        <v>4</v>
      </c>
      <c r="F56" s="16"/>
      <c r="G56" s="5" t="s">
        <v>5</v>
      </c>
      <c r="H56" s="17" t="s">
        <v>6</v>
      </c>
    </row>
    <row r="57" spans="2:8" x14ac:dyDescent="0.25">
      <c r="B57" s="1" t="s">
        <v>16</v>
      </c>
      <c r="C57" s="2" t="s">
        <v>7</v>
      </c>
      <c r="D57" s="15">
        <v>4.3099999999999996</v>
      </c>
      <c r="E57" s="15">
        <v>3.77</v>
      </c>
      <c r="F57" s="15"/>
      <c r="G57" s="8" t="s">
        <v>10</v>
      </c>
      <c r="H57" s="18">
        <f>D57*E57</f>
        <v>16.248699999999999</v>
      </c>
    </row>
    <row r="58" spans="2:8" x14ac:dyDescent="0.25">
      <c r="B58" s="6" t="s">
        <v>23</v>
      </c>
      <c r="C58" s="7"/>
      <c r="D58" s="19"/>
      <c r="E58" s="19"/>
      <c r="F58" s="19"/>
      <c r="G58" s="7"/>
      <c r="H58" s="20">
        <f>SUM(H57)</f>
        <v>16.248699999999999</v>
      </c>
    </row>
    <row r="60" spans="2:8" x14ac:dyDescent="0.25">
      <c r="B60" s="4"/>
      <c r="C60" s="5" t="s">
        <v>26</v>
      </c>
      <c r="D60" s="21"/>
      <c r="E60" s="21"/>
      <c r="F60" s="21"/>
      <c r="G60" s="5" t="s">
        <v>5</v>
      </c>
      <c r="H60" s="17" t="s">
        <v>6</v>
      </c>
    </row>
    <row r="61" spans="2:8" x14ac:dyDescent="0.25">
      <c r="B61" s="1" t="s">
        <v>105</v>
      </c>
      <c r="C61" s="2" t="s">
        <v>25</v>
      </c>
      <c r="D61" s="15"/>
      <c r="E61" s="15"/>
      <c r="F61" s="15"/>
      <c r="G61" s="2" t="s">
        <v>5</v>
      </c>
      <c r="H61" s="18">
        <v>10</v>
      </c>
    </row>
    <row r="62" spans="2:8" x14ac:dyDescent="0.25">
      <c r="B62" s="1"/>
      <c r="C62" s="3" t="s">
        <v>27</v>
      </c>
      <c r="D62" s="15"/>
      <c r="E62" s="15"/>
      <c r="F62" s="15"/>
      <c r="G62" s="2" t="s">
        <v>5</v>
      </c>
      <c r="H62" s="18">
        <v>11</v>
      </c>
    </row>
    <row r="63" spans="2:8" x14ac:dyDescent="0.25">
      <c r="B63" s="1"/>
      <c r="C63" s="2" t="s">
        <v>28</v>
      </c>
      <c r="D63" s="15"/>
      <c r="E63" s="15"/>
      <c r="F63" s="15"/>
      <c r="G63" s="2" t="s">
        <v>5</v>
      </c>
      <c r="H63" s="18">
        <v>4</v>
      </c>
    </row>
    <row r="64" spans="2:8" x14ac:dyDescent="0.25">
      <c r="B64" s="1"/>
      <c r="C64" s="2"/>
      <c r="D64" s="15"/>
      <c r="E64" s="15"/>
      <c r="F64" s="15"/>
      <c r="G64" s="2"/>
      <c r="H64" s="18"/>
    </row>
    <row r="65" spans="2:8" x14ac:dyDescent="0.25">
      <c r="B65" s="1" t="s">
        <v>11</v>
      </c>
      <c r="C65" s="2" t="s">
        <v>25</v>
      </c>
      <c r="D65" s="15"/>
      <c r="E65" s="15"/>
      <c r="F65" s="15"/>
      <c r="G65" s="2" t="s">
        <v>5</v>
      </c>
      <c r="H65" s="18">
        <v>7</v>
      </c>
    </row>
    <row r="66" spans="2:8" x14ac:dyDescent="0.25">
      <c r="B66" s="1"/>
      <c r="C66" s="3" t="s">
        <v>27</v>
      </c>
      <c r="D66" s="15"/>
      <c r="E66" s="15"/>
      <c r="F66" s="15"/>
      <c r="G66" s="2" t="s">
        <v>5</v>
      </c>
      <c r="H66" s="18">
        <v>10</v>
      </c>
    </row>
    <row r="67" spans="2:8" x14ac:dyDescent="0.25">
      <c r="B67" s="1"/>
      <c r="C67" s="2" t="s">
        <v>28</v>
      </c>
      <c r="D67" s="15"/>
      <c r="E67" s="15"/>
      <c r="F67" s="15"/>
      <c r="G67" s="2" t="s">
        <v>5</v>
      </c>
      <c r="H67" s="18">
        <v>0</v>
      </c>
    </row>
    <row r="68" spans="2:8" x14ac:dyDescent="0.25">
      <c r="B68" s="1"/>
      <c r="C68" s="2"/>
      <c r="D68" s="15"/>
      <c r="E68" s="15"/>
      <c r="F68" s="15"/>
      <c r="G68" s="2"/>
      <c r="H68" s="18"/>
    </row>
    <row r="69" spans="2:8" x14ac:dyDescent="0.25">
      <c r="B69" s="1" t="s">
        <v>16</v>
      </c>
      <c r="C69" s="2" t="s">
        <v>25</v>
      </c>
      <c r="D69" s="15"/>
      <c r="E69" s="15"/>
      <c r="F69" s="15"/>
      <c r="G69" s="2" t="s">
        <v>5</v>
      </c>
      <c r="H69" s="18">
        <v>21</v>
      </c>
    </row>
    <row r="70" spans="2:8" x14ac:dyDescent="0.25">
      <c r="B70" s="1"/>
      <c r="C70" s="3" t="s">
        <v>27</v>
      </c>
      <c r="D70" s="15"/>
      <c r="E70" s="15"/>
      <c r="F70" s="15"/>
      <c r="G70" s="2" t="s">
        <v>5</v>
      </c>
      <c r="H70" s="18">
        <v>13</v>
      </c>
    </row>
    <row r="71" spans="2:8" x14ac:dyDescent="0.25">
      <c r="B71" s="1"/>
      <c r="C71" s="2" t="s">
        <v>28</v>
      </c>
      <c r="D71" s="15"/>
      <c r="E71" s="15"/>
      <c r="F71" s="15"/>
      <c r="G71" s="2" t="s">
        <v>5</v>
      </c>
      <c r="H71" s="18">
        <v>7</v>
      </c>
    </row>
    <row r="72" spans="2:8" x14ac:dyDescent="0.25">
      <c r="B72" s="6" t="s">
        <v>23</v>
      </c>
      <c r="C72" s="7"/>
      <c r="D72" s="19"/>
      <c r="E72" s="19"/>
      <c r="F72" s="19"/>
      <c r="G72" s="7"/>
      <c r="H72" s="20">
        <f>SUM(H61:H71)</f>
        <v>83</v>
      </c>
    </row>
    <row r="74" spans="2:8" x14ac:dyDescent="0.25">
      <c r="B74" s="4"/>
      <c r="C74" s="5" t="s">
        <v>29</v>
      </c>
      <c r="D74" s="21"/>
      <c r="E74" s="21"/>
      <c r="F74" s="21"/>
      <c r="G74" s="5" t="s">
        <v>5</v>
      </c>
      <c r="H74" s="17" t="s">
        <v>6</v>
      </c>
    </row>
    <row r="75" spans="2:8" x14ac:dyDescent="0.25">
      <c r="B75" s="1" t="s">
        <v>105</v>
      </c>
      <c r="C75" s="2" t="s">
        <v>30</v>
      </c>
      <c r="D75" s="15"/>
      <c r="E75" s="15"/>
      <c r="F75" s="15"/>
      <c r="G75" s="2" t="s">
        <v>5</v>
      </c>
      <c r="H75" s="18">
        <v>4</v>
      </c>
    </row>
    <row r="76" spans="2:8" x14ac:dyDescent="0.25">
      <c r="B76" s="1"/>
      <c r="C76" s="2"/>
      <c r="D76" s="15"/>
      <c r="E76" s="15"/>
      <c r="F76" s="15"/>
      <c r="G76" s="2"/>
      <c r="H76" s="18"/>
    </row>
    <row r="77" spans="2:8" x14ac:dyDescent="0.25">
      <c r="B77" s="1" t="s">
        <v>11</v>
      </c>
      <c r="C77" s="2" t="s">
        <v>30</v>
      </c>
      <c r="D77" s="15"/>
      <c r="E77" s="15"/>
      <c r="F77" s="15"/>
      <c r="G77" s="2" t="s">
        <v>5</v>
      </c>
      <c r="H77" s="18">
        <v>5</v>
      </c>
    </row>
    <row r="78" spans="2:8" x14ac:dyDescent="0.25">
      <c r="B78" s="1"/>
      <c r="C78" s="2"/>
      <c r="D78" s="15"/>
      <c r="E78" s="15"/>
      <c r="F78" s="15"/>
      <c r="G78" s="2"/>
      <c r="H78" s="18"/>
    </row>
    <row r="79" spans="2:8" x14ac:dyDescent="0.25">
      <c r="B79" s="1" t="s">
        <v>16</v>
      </c>
      <c r="C79" s="2" t="s">
        <v>30</v>
      </c>
      <c r="D79" s="15"/>
      <c r="E79" s="15"/>
      <c r="F79" s="15"/>
      <c r="G79" s="2" t="s">
        <v>5</v>
      </c>
      <c r="H79" s="18">
        <v>5</v>
      </c>
    </row>
    <row r="80" spans="2:8" x14ac:dyDescent="0.25">
      <c r="B80" s="6" t="s">
        <v>23</v>
      </c>
      <c r="C80" s="7"/>
      <c r="D80" s="19"/>
      <c r="E80" s="19"/>
      <c r="F80" s="19"/>
      <c r="G80" s="7"/>
      <c r="H80" s="20">
        <f>SUM(H75:H79)</f>
        <v>14</v>
      </c>
    </row>
    <row r="82" spans="2:8" x14ac:dyDescent="0.25">
      <c r="B82" s="4"/>
      <c r="C82" s="5" t="s">
        <v>31</v>
      </c>
      <c r="D82" s="21"/>
      <c r="E82" s="21"/>
      <c r="F82" s="21"/>
      <c r="G82" s="5" t="s">
        <v>5</v>
      </c>
      <c r="H82" s="17" t="s">
        <v>6</v>
      </c>
    </row>
    <row r="83" spans="2:8" x14ac:dyDescent="0.25">
      <c r="B83" s="1" t="s">
        <v>105</v>
      </c>
      <c r="C83" s="2" t="s">
        <v>32</v>
      </c>
      <c r="D83" s="15"/>
      <c r="E83" s="15"/>
      <c r="F83" s="15"/>
      <c r="G83" s="2" t="s">
        <v>5</v>
      </c>
      <c r="H83" s="18">
        <v>3</v>
      </c>
    </row>
    <row r="84" spans="2:8" x14ac:dyDescent="0.25">
      <c r="B84" s="1"/>
      <c r="C84" s="2"/>
      <c r="D84" s="15"/>
      <c r="E84" s="15"/>
      <c r="F84" s="15"/>
      <c r="G84" s="2"/>
      <c r="H84" s="18"/>
    </row>
    <row r="85" spans="2:8" x14ac:dyDescent="0.25">
      <c r="B85" s="1" t="s">
        <v>11</v>
      </c>
      <c r="C85" s="2" t="s">
        <v>32</v>
      </c>
      <c r="D85" s="15"/>
      <c r="E85" s="15"/>
      <c r="F85" s="15"/>
      <c r="G85" s="2" t="s">
        <v>5</v>
      </c>
      <c r="H85" s="18">
        <v>4</v>
      </c>
    </row>
    <row r="86" spans="2:8" x14ac:dyDescent="0.25">
      <c r="B86" s="1"/>
      <c r="C86" s="2"/>
      <c r="D86" s="15"/>
      <c r="E86" s="15"/>
      <c r="F86" s="15"/>
      <c r="G86" s="2"/>
      <c r="H86" s="18"/>
    </row>
    <row r="87" spans="2:8" x14ac:dyDescent="0.25">
      <c r="B87" s="1" t="s">
        <v>16</v>
      </c>
      <c r="C87" s="2" t="s">
        <v>32</v>
      </c>
      <c r="D87" s="15"/>
      <c r="E87" s="15"/>
      <c r="F87" s="15"/>
      <c r="G87" s="2" t="s">
        <v>5</v>
      </c>
      <c r="H87" s="18">
        <v>4</v>
      </c>
    </row>
    <row r="88" spans="2:8" x14ac:dyDescent="0.25">
      <c r="B88" s="6"/>
      <c r="C88" s="7"/>
      <c r="D88" s="19"/>
      <c r="E88" s="19"/>
      <c r="F88" s="19"/>
      <c r="G88" s="7"/>
      <c r="H88" s="20">
        <f>SUM(H83:H87)</f>
        <v>11</v>
      </c>
    </row>
    <row r="90" spans="2:8" x14ac:dyDescent="0.25">
      <c r="B90" s="4"/>
      <c r="C90" s="5" t="s">
        <v>33</v>
      </c>
      <c r="D90" s="21"/>
      <c r="E90" s="21"/>
      <c r="F90" s="21"/>
      <c r="G90" s="5" t="s">
        <v>5</v>
      </c>
      <c r="H90" s="17" t="s">
        <v>6</v>
      </c>
    </row>
    <row r="91" spans="2:8" x14ac:dyDescent="0.25">
      <c r="B91" s="1" t="s">
        <v>105</v>
      </c>
      <c r="C91" s="2" t="s">
        <v>34</v>
      </c>
      <c r="D91" s="15"/>
      <c r="E91" s="15"/>
      <c r="F91" s="15"/>
      <c r="G91" s="2" t="s">
        <v>5</v>
      </c>
      <c r="H91" s="18">
        <v>1</v>
      </c>
    </row>
    <row r="92" spans="2:8" x14ac:dyDescent="0.25">
      <c r="B92" s="1"/>
      <c r="C92" s="2"/>
      <c r="D92" s="15"/>
      <c r="E92" s="15"/>
      <c r="F92" s="15"/>
      <c r="G92" s="2"/>
      <c r="H92" s="18"/>
    </row>
    <row r="93" spans="2:8" x14ac:dyDescent="0.25">
      <c r="B93" s="1" t="s">
        <v>11</v>
      </c>
      <c r="C93" s="2" t="s">
        <v>34</v>
      </c>
      <c r="D93" s="15"/>
      <c r="E93" s="15"/>
      <c r="F93" s="15"/>
      <c r="G93" s="2" t="s">
        <v>5</v>
      </c>
      <c r="H93" s="18">
        <v>3</v>
      </c>
    </row>
    <row r="94" spans="2:8" x14ac:dyDescent="0.25">
      <c r="B94" s="1"/>
      <c r="C94" s="2"/>
      <c r="D94" s="15"/>
      <c r="E94" s="15"/>
      <c r="F94" s="15"/>
      <c r="G94" s="2"/>
      <c r="H94" s="18"/>
    </row>
    <row r="95" spans="2:8" x14ac:dyDescent="0.25">
      <c r="B95" s="1" t="s">
        <v>16</v>
      </c>
      <c r="C95" s="2" t="s">
        <v>34</v>
      </c>
      <c r="D95" s="15"/>
      <c r="E95" s="15"/>
      <c r="F95" s="15"/>
      <c r="G95" s="2" t="s">
        <v>5</v>
      </c>
      <c r="H95" s="18">
        <v>3</v>
      </c>
    </row>
    <row r="96" spans="2:8" x14ac:dyDescent="0.25">
      <c r="B96" s="6" t="s">
        <v>23</v>
      </c>
      <c r="C96" s="7"/>
      <c r="D96" s="19"/>
      <c r="E96" s="19"/>
      <c r="F96" s="19"/>
      <c r="G96" s="7"/>
      <c r="H96" s="20">
        <f>SUM(H91:H95)</f>
        <v>7</v>
      </c>
    </row>
    <row r="98" spans="2:8" x14ac:dyDescent="0.25">
      <c r="B98" s="4"/>
      <c r="C98" s="5" t="s">
        <v>35</v>
      </c>
      <c r="D98" s="21"/>
      <c r="E98" s="21"/>
      <c r="F98" s="21"/>
      <c r="G98" s="5" t="s">
        <v>5</v>
      </c>
      <c r="H98" s="17" t="s">
        <v>6</v>
      </c>
    </row>
    <row r="99" spans="2:8" x14ac:dyDescent="0.25">
      <c r="B99" s="1" t="s">
        <v>105</v>
      </c>
      <c r="C99" s="2" t="s">
        <v>36</v>
      </c>
      <c r="D99" s="15"/>
      <c r="E99" s="15"/>
      <c r="F99" s="15"/>
      <c r="G99" s="2" t="s">
        <v>5</v>
      </c>
      <c r="H99" s="18">
        <v>4</v>
      </c>
    </row>
    <row r="100" spans="2:8" x14ac:dyDescent="0.25">
      <c r="B100" s="1"/>
      <c r="C100" s="2"/>
      <c r="D100" s="15"/>
      <c r="E100" s="15"/>
      <c r="F100" s="15"/>
      <c r="G100" s="2"/>
      <c r="H100" s="18"/>
    </row>
    <row r="101" spans="2:8" x14ac:dyDescent="0.25">
      <c r="B101" s="1" t="s">
        <v>11</v>
      </c>
      <c r="C101" s="2" t="s">
        <v>36</v>
      </c>
      <c r="D101" s="15"/>
      <c r="E101" s="15"/>
      <c r="F101" s="15"/>
      <c r="G101" s="2" t="s">
        <v>5</v>
      </c>
      <c r="H101" s="18">
        <v>3</v>
      </c>
    </row>
    <row r="102" spans="2:8" x14ac:dyDescent="0.25">
      <c r="B102" s="1"/>
      <c r="C102" s="2"/>
      <c r="D102" s="15"/>
      <c r="E102" s="15"/>
      <c r="F102" s="15"/>
      <c r="G102" s="2"/>
      <c r="H102" s="18"/>
    </row>
    <row r="103" spans="2:8" x14ac:dyDescent="0.25">
      <c r="B103" s="1" t="s">
        <v>16</v>
      </c>
      <c r="C103" s="2" t="s">
        <v>36</v>
      </c>
      <c r="D103" s="15"/>
      <c r="E103" s="15"/>
      <c r="F103" s="15"/>
      <c r="G103" s="2" t="s">
        <v>5</v>
      </c>
      <c r="H103" s="18">
        <v>4</v>
      </c>
    </row>
    <row r="104" spans="2:8" x14ac:dyDescent="0.25">
      <c r="B104" s="6" t="s">
        <v>23</v>
      </c>
      <c r="C104" s="7"/>
      <c r="D104" s="19"/>
      <c r="E104" s="19"/>
      <c r="F104" s="19"/>
      <c r="G104" s="7"/>
      <c r="H104" s="20">
        <f>SUM(H99:H103)</f>
        <v>11</v>
      </c>
    </row>
    <row r="106" spans="2:8" x14ac:dyDescent="0.25">
      <c r="B106" s="4"/>
      <c r="C106" s="5" t="s">
        <v>37</v>
      </c>
      <c r="D106" s="21"/>
      <c r="E106" s="21"/>
      <c r="F106" s="21"/>
      <c r="G106" s="5" t="s">
        <v>5</v>
      </c>
      <c r="H106" s="17" t="s">
        <v>6</v>
      </c>
    </row>
    <row r="107" spans="2:8" x14ac:dyDescent="0.25">
      <c r="B107" s="1" t="s">
        <v>105</v>
      </c>
      <c r="C107" s="2" t="s">
        <v>38</v>
      </c>
      <c r="D107" s="15"/>
      <c r="E107" s="15"/>
      <c r="F107" s="15"/>
      <c r="G107" s="2" t="s">
        <v>5</v>
      </c>
      <c r="H107" s="18">
        <v>2</v>
      </c>
    </row>
    <row r="108" spans="2:8" x14ac:dyDescent="0.25">
      <c r="B108" s="1"/>
      <c r="C108" s="2"/>
      <c r="D108" s="15"/>
      <c r="E108" s="15"/>
      <c r="F108" s="15"/>
      <c r="G108" s="2"/>
      <c r="H108" s="18"/>
    </row>
    <row r="109" spans="2:8" x14ac:dyDescent="0.25">
      <c r="B109" s="1" t="s">
        <v>11</v>
      </c>
      <c r="C109" s="2" t="s">
        <v>38</v>
      </c>
      <c r="D109" s="15"/>
      <c r="E109" s="15"/>
      <c r="F109" s="15"/>
      <c r="G109" s="2" t="s">
        <v>5</v>
      </c>
      <c r="H109" s="18">
        <v>1</v>
      </c>
    </row>
    <row r="110" spans="2:8" x14ac:dyDescent="0.25">
      <c r="B110" s="1"/>
      <c r="C110" s="2"/>
      <c r="D110" s="15"/>
      <c r="E110" s="15"/>
      <c r="F110" s="15"/>
      <c r="G110" s="2"/>
      <c r="H110" s="18"/>
    </row>
    <row r="111" spans="2:8" x14ac:dyDescent="0.25">
      <c r="B111" s="1" t="s">
        <v>16</v>
      </c>
      <c r="C111" s="2" t="s">
        <v>38</v>
      </c>
      <c r="D111" s="15"/>
      <c r="E111" s="15"/>
      <c r="F111" s="15"/>
      <c r="G111" s="2" t="s">
        <v>5</v>
      </c>
      <c r="H111" s="18">
        <v>3</v>
      </c>
    </row>
    <row r="112" spans="2:8" x14ac:dyDescent="0.25">
      <c r="B112" s="6" t="s">
        <v>23</v>
      </c>
      <c r="C112" s="7"/>
      <c r="D112" s="19"/>
      <c r="E112" s="19"/>
      <c r="F112" s="19"/>
      <c r="G112" s="7"/>
      <c r="H112" s="20">
        <f>SUM(H107:H111)</f>
        <v>6</v>
      </c>
    </row>
    <row r="114" spans="2:8" x14ac:dyDescent="0.25">
      <c r="B114" s="4"/>
      <c r="C114" s="5" t="s">
        <v>39</v>
      </c>
      <c r="D114" s="21"/>
      <c r="E114" s="21"/>
      <c r="F114" s="21"/>
      <c r="G114" s="5" t="s">
        <v>5</v>
      </c>
      <c r="H114" s="17" t="s">
        <v>6</v>
      </c>
    </row>
    <row r="115" spans="2:8" x14ac:dyDescent="0.25">
      <c r="B115" s="1" t="s">
        <v>105</v>
      </c>
      <c r="C115" s="2" t="s">
        <v>39</v>
      </c>
      <c r="D115" s="15"/>
      <c r="E115" s="15"/>
      <c r="F115" s="15"/>
      <c r="G115" s="2" t="s">
        <v>5</v>
      </c>
      <c r="H115" s="18">
        <v>22</v>
      </c>
    </row>
    <row r="116" spans="2:8" x14ac:dyDescent="0.25">
      <c r="B116" s="1"/>
      <c r="C116" s="2"/>
      <c r="D116" s="15"/>
      <c r="E116" s="15"/>
      <c r="F116" s="15"/>
      <c r="G116" s="2"/>
      <c r="H116" s="18"/>
    </row>
    <row r="117" spans="2:8" x14ac:dyDescent="0.25">
      <c r="B117" s="1" t="s">
        <v>11</v>
      </c>
      <c r="C117" s="2" t="s">
        <v>39</v>
      </c>
      <c r="D117" s="15"/>
      <c r="E117" s="15"/>
      <c r="F117" s="15"/>
      <c r="G117" s="2" t="s">
        <v>5</v>
      </c>
      <c r="H117" s="18">
        <v>23</v>
      </c>
    </row>
    <row r="118" spans="2:8" x14ac:dyDescent="0.25">
      <c r="B118" s="1"/>
      <c r="C118" s="2"/>
      <c r="D118" s="15"/>
      <c r="E118" s="15"/>
      <c r="F118" s="15"/>
      <c r="G118" s="2"/>
      <c r="H118" s="18"/>
    </row>
    <row r="119" spans="2:8" x14ac:dyDescent="0.25">
      <c r="B119" s="1" t="s">
        <v>16</v>
      </c>
      <c r="C119" s="2" t="s">
        <v>39</v>
      </c>
      <c r="D119" s="15"/>
      <c r="E119" s="15"/>
      <c r="F119" s="15"/>
      <c r="G119" s="2" t="s">
        <v>5</v>
      </c>
      <c r="H119" s="18">
        <v>21</v>
      </c>
    </row>
    <row r="120" spans="2:8" x14ac:dyDescent="0.25">
      <c r="B120" s="6" t="s">
        <v>23</v>
      </c>
      <c r="C120" s="7"/>
      <c r="D120" s="19"/>
      <c r="E120" s="19"/>
      <c r="F120" s="19"/>
      <c r="G120" s="7"/>
      <c r="H120" s="20">
        <f>SUM(H115:H119)</f>
        <v>66</v>
      </c>
    </row>
    <row r="122" spans="2:8" x14ac:dyDescent="0.25">
      <c r="B122" s="4"/>
      <c r="C122" s="5" t="s">
        <v>54</v>
      </c>
      <c r="D122" s="16" t="s">
        <v>3</v>
      </c>
      <c r="E122" s="16" t="s">
        <v>4</v>
      </c>
      <c r="F122" s="16" t="s">
        <v>55</v>
      </c>
      <c r="G122" s="5" t="s">
        <v>5</v>
      </c>
      <c r="H122" s="17" t="s">
        <v>6</v>
      </c>
    </row>
    <row r="123" spans="2:8" x14ac:dyDescent="0.25">
      <c r="B123" s="1" t="s">
        <v>105</v>
      </c>
      <c r="C123" s="2" t="s">
        <v>59</v>
      </c>
      <c r="D123" s="15">
        <v>40.6</v>
      </c>
      <c r="E123" s="15">
        <v>3.77</v>
      </c>
      <c r="F123" s="15">
        <f>(1.2+1.2+0.9)*2.5+(1.1*2.1)+(1.4*2.1)</f>
        <v>13.5</v>
      </c>
      <c r="G123" s="2" t="s">
        <v>10</v>
      </c>
      <c r="H123" s="18">
        <f>D123*E123-F123</f>
        <v>139.56200000000001</v>
      </c>
    </row>
    <row r="124" spans="2:8" x14ac:dyDescent="0.25">
      <c r="B124" s="1" t="s">
        <v>105</v>
      </c>
      <c r="C124" s="2" t="s">
        <v>60</v>
      </c>
      <c r="D124" s="15">
        <v>25.12</v>
      </c>
      <c r="E124" s="15">
        <v>3.77</v>
      </c>
      <c r="F124" s="15">
        <f>(1.18*2.5)</f>
        <v>2.9499999999999997</v>
      </c>
      <c r="G124" s="2" t="s">
        <v>10</v>
      </c>
      <c r="H124" s="18">
        <f>D124*E124-F124</f>
        <v>91.752399999999994</v>
      </c>
    </row>
    <row r="125" spans="2:8" x14ac:dyDescent="0.25">
      <c r="B125" s="1" t="s">
        <v>105</v>
      </c>
      <c r="C125" s="2" t="s">
        <v>61</v>
      </c>
      <c r="D125" s="15">
        <v>12.6</v>
      </c>
      <c r="E125" s="15">
        <v>3.77</v>
      </c>
      <c r="F125" s="15">
        <f>(1.2*2.5)+(1.47*2.1)</f>
        <v>6.0869999999999997</v>
      </c>
      <c r="G125" s="2" t="s">
        <v>10</v>
      </c>
      <c r="H125" s="18">
        <f>D125*E125-F125</f>
        <v>41.414999999999992</v>
      </c>
    </row>
    <row r="126" spans="2:8" x14ac:dyDescent="0.25">
      <c r="B126" s="1"/>
      <c r="C126" s="2"/>
      <c r="D126" s="15"/>
      <c r="E126" s="15"/>
      <c r="F126" s="15"/>
      <c r="G126" s="2"/>
      <c r="H126" s="18"/>
    </row>
    <row r="127" spans="2:8" x14ac:dyDescent="0.25">
      <c r="B127" s="1" t="s">
        <v>11</v>
      </c>
      <c r="C127" s="2" t="s">
        <v>58</v>
      </c>
      <c r="D127" s="15">
        <v>48.9</v>
      </c>
      <c r="E127" s="15">
        <v>3.77</v>
      </c>
      <c r="F127" s="15">
        <f>(1.2*2.5*4)+(1.1*2.1)</f>
        <v>14.31</v>
      </c>
      <c r="G127" s="2" t="s">
        <v>10</v>
      </c>
      <c r="H127" s="18">
        <f>D127*E127-F127</f>
        <v>170.04300000000001</v>
      </c>
    </row>
    <row r="128" spans="2:8" x14ac:dyDescent="0.25">
      <c r="B128" s="1"/>
      <c r="C128" s="2"/>
      <c r="D128" s="15"/>
      <c r="E128" s="15"/>
      <c r="F128" s="15"/>
      <c r="G128" s="2"/>
      <c r="H128" s="18"/>
    </row>
    <row r="129" spans="2:8" x14ac:dyDescent="0.25">
      <c r="B129" s="1" t="s">
        <v>57</v>
      </c>
      <c r="C129" s="2" t="s">
        <v>58</v>
      </c>
      <c r="D129" s="15">
        <v>49.49</v>
      </c>
      <c r="E129" s="15">
        <v>3.77</v>
      </c>
      <c r="F129" s="15">
        <f>(1.2*2.5*3)+1.1*2.1</f>
        <v>11.31</v>
      </c>
      <c r="G129" s="2" t="s">
        <v>10</v>
      </c>
      <c r="H129" s="18">
        <f>D129*E129-F129</f>
        <v>175.26730000000001</v>
      </c>
    </row>
    <row r="130" spans="2:8" x14ac:dyDescent="0.25">
      <c r="B130" s="6" t="s">
        <v>23</v>
      </c>
      <c r="C130" s="7"/>
      <c r="D130" s="19"/>
      <c r="E130" s="19"/>
      <c r="F130" s="19"/>
      <c r="G130" s="7"/>
      <c r="H130" s="20">
        <f>SUM(H123:H129)</f>
        <v>618.03970000000004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2"/>
  <sheetViews>
    <sheetView workbookViewId="0">
      <selection activeCell="C16" sqref="C16"/>
    </sheetView>
  </sheetViews>
  <sheetFormatPr defaultRowHeight="15" x14ac:dyDescent="0.25"/>
  <cols>
    <col min="1" max="1" width="3" customWidth="1"/>
    <col min="2" max="2" width="14.85546875" bestFit="1" customWidth="1"/>
    <col min="3" max="3" width="33" bestFit="1" customWidth="1"/>
    <col min="4" max="4" width="7.42578125" style="13" bestFit="1" customWidth="1"/>
    <col min="5" max="5" width="6.7109375" style="13" bestFit="1" customWidth="1"/>
    <col min="6" max="6" width="8.140625" style="13" bestFit="1" customWidth="1"/>
    <col min="7" max="7" width="4.42578125" bestFit="1" customWidth="1"/>
    <col min="8" max="8" width="9.5703125" style="13" bestFit="1" customWidth="1"/>
  </cols>
  <sheetData>
    <row r="1" spans="2:8" s="35" customFormat="1" x14ac:dyDescent="0.25">
      <c r="B1" s="40" t="s">
        <v>97</v>
      </c>
      <c r="D1" s="38"/>
      <c r="E1" s="38"/>
      <c r="F1" s="38"/>
      <c r="H1" s="38"/>
    </row>
    <row r="2" spans="2:8" s="35" customFormat="1" x14ac:dyDescent="0.25">
      <c r="D2" s="38"/>
      <c r="E2" s="38"/>
      <c r="F2" s="38"/>
      <c r="H2" s="38"/>
    </row>
    <row r="3" spans="2:8" x14ac:dyDescent="0.25">
      <c r="B3" t="s">
        <v>2</v>
      </c>
      <c r="C3" t="s">
        <v>1</v>
      </c>
    </row>
    <row r="4" spans="2:8" x14ac:dyDescent="0.25">
      <c r="B4" s="4"/>
      <c r="C4" s="5" t="s">
        <v>91</v>
      </c>
      <c r="D4" s="16" t="s">
        <v>3</v>
      </c>
      <c r="E4" s="16" t="s">
        <v>56</v>
      </c>
      <c r="F4" s="16"/>
      <c r="G4" s="5" t="s">
        <v>5</v>
      </c>
      <c r="H4" s="17" t="s">
        <v>6</v>
      </c>
    </row>
    <row r="5" spans="2:8" x14ac:dyDescent="0.25">
      <c r="B5" s="11" t="s">
        <v>94</v>
      </c>
      <c r="C5" s="2" t="s">
        <v>92</v>
      </c>
      <c r="D5" s="15">
        <v>1</v>
      </c>
      <c r="E5" s="15">
        <v>1.88</v>
      </c>
      <c r="F5" s="15"/>
      <c r="G5" s="2" t="s">
        <v>10</v>
      </c>
      <c r="H5" s="18">
        <f>D5*E5-F5</f>
        <v>1.88</v>
      </c>
    </row>
    <row r="6" spans="2:8" x14ac:dyDescent="0.25">
      <c r="B6" s="11" t="s">
        <v>94</v>
      </c>
      <c r="C6" s="9" t="s">
        <v>93</v>
      </c>
      <c r="D6" s="15">
        <v>1</v>
      </c>
      <c r="E6" s="15">
        <v>1.88</v>
      </c>
      <c r="F6" s="15"/>
      <c r="G6" s="2" t="s">
        <v>10</v>
      </c>
      <c r="H6" s="18">
        <f>D6*E6-F6</f>
        <v>1.88</v>
      </c>
    </row>
    <row r="7" spans="2:8" x14ac:dyDescent="0.25">
      <c r="B7" s="11"/>
      <c r="C7" s="2"/>
      <c r="D7" s="15"/>
      <c r="E7" s="15"/>
      <c r="F7" s="15"/>
      <c r="G7" s="2"/>
      <c r="H7" s="18"/>
    </row>
    <row r="8" spans="2:8" x14ac:dyDescent="0.25">
      <c r="B8" s="6" t="s">
        <v>23</v>
      </c>
      <c r="C8" s="7"/>
      <c r="D8" s="19"/>
      <c r="E8" s="19"/>
      <c r="F8" s="19"/>
      <c r="G8" s="7"/>
      <c r="H8" s="20">
        <f>SUM(H5:H7)</f>
        <v>3.76</v>
      </c>
    </row>
    <row r="10" spans="2:8" x14ac:dyDescent="0.25">
      <c r="B10" s="4"/>
      <c r="C10" s="5" t="s">
        <v>84</v>
      </c>
      <c r="D10" s="16" t="s">
        <v>3</v>
      </c>
      <c r="E10" s="16" t="s">
        <v>4</v>
      </c>
      <c r="F10" s="16" t="s">
        <v>55</v>
      </c>
      <c r="G10" s="5" t="s">
        <v>5</v>
      </c>
      <c r="H10" s="17" t="s">
        <v>6</v>
      </c>
    </row>
    <row r="11" spans="2:8" x14ac:dyDescent="0.25">
      <c r="B11" s="11" t="s">
        <v>80</v>
      </c>
      <c r="C11" s="2" t="s">
        <v>64</v>
      </c>
      <c r="D11" s="15">
        <v>3.8</v>
      </c>
      <c r="E11" s="15">
        <v>3.23</v>
      </c>
      <c r="F11" s="15">
        <f>1*2.1</f>
        <v>2.1</v>
      </c>
      <c r="G11" s="2" t="s">
        <v>10</v>
      </c>
      <c r="H11" s="18">
        <f>D11*E11-F11</f>
        <v>10.173999999999999</v>
      </c>
    </row>
    <row r="12" spans="2:8" x14ac:dyDescent="0.25">
      <c r="B12" s="11"/>
      <c r="C12" s="2" t="s">
        <v>65</v>
      </c>
      <c r="D12" s="15">
        <v>0.73</v>
      </c>
      <c r="E12" s="15">
        <v>2.5</v>
      </c>
      <c r="F12" s="15"/>
      <c r="G12" s="2" t="s">
        <v>10</v>
      </c>
      <c r="H12" s="18">
        <f t="shared" ref="H12:H63" si="0">D12*E12-F12</f>
        <v>1.825</v>
      </c>
    </row>
    <row r="13" spans="2:8" x14ac:dyDescent="0.25">
      <c r="B13" s="11"/>
      <c r="C13" s="2" t="s">
        <v>66</v>
      </c>
      <c r="D13" s="15">
        <v>2.02</v>
      </c>
      <c r="E13" s="15">
        <v>2.5</v>
      </c>
      <c r="F13" s="15"/>
      <c r="G13" s="2" t="s">
        <v>10</v>
      </c>
      <c r="H13" s="18">
        <f t="shared" si="0"/>
        <v>5.05</v>
      </c>
    </row>
    <row r="14" spans="2:8" x14ac:dyDescent="0.25">
      <c r="B14" s="11"/>
      <c r="C14" s="2" t="s">
        <v>67</v>
      </c>
      <c r="D14" s="15">
        <v>2.85</v>
      </c>
      <c r="E14" s="15">
        <v>3.23</v>
      </c>
      <c r="F14" s="15"/>
      <c r="G14" s="2" t="s">
        <v>10</v>
      </c>
      <c r="H14" s="18">
        <f t="shared" si="0"/>
        <v>9.2055000000000007</v>
      </c>
    </row>
    <row r="15" spans="2:8" x14ac:dyDescent="0.25">
      <c r="B15" s="11"/>
      <c r="C15" s="2" t="s">
        <v>68</v>
      </c>
      <c r="D15" s="15">
        <v>1.8</v>
      </c>
      <c r="E15" s="15">
        <v>2.5</v>
      </c>
      <c r="F15" s="15"/>
      <c r="G15" s="2" t="s">
        <v>10</v>
      </c>
      <c r="H15" s="18">
        <f t="shared" si="0"/>
        <v>4.5</v>
      </c>
    </row>
    <row r="16" spans="2:8" x14ac:dyDescent="0.25">
      <c r="B16" s="11" t="s">
        <v>72</v>
      </c>
      <c r="C16" s="2" t="s">
        <v>64</v>
      </c>
      <c r="D16" s="34">
        <v>2.23</v>
      </c>
      <c r="E16" s="34">
        <v>2.5</v>
      </c>
      <c r="F16" s="15"/>
      <c r="G16" s="2" t="s">
        <v>10</v>
      </c>
      <c r="H16" s="18">
        <f t="shared" si="0"/>
        <v>5.5750000000000002</v>
      </c>
    </row>
    <row r="17" spans="2:8" x14ac:dyDescent="0.25">
      <c r="B17" s="11"/>
      <c r="C17" s="2" t="s">
        <v>65</v>
      </c>
      <c r="D17" s="34">
        <v>2.98</v>
      </c>
      <c r="E17" s="34">
        <v>3.23</v>
      </c>
      <c r="F17" s="15"/>
      <c r="G17" s="2" t="s">
        <v>10</v>
      </c>
      <c r="H17" s="18">
        <f t="shared" si="0"/>
        <v>9.6253999999999991</v>
      </c>
    </row>
    <row r="18" spans="2:8" x14ac:dyDescent="0.25">
      <c r="B18" s="11"/>
      <c r="C18" s="2" t="s">
        <v>66</v>
      </c>
      <c r="D18" s="34">
        <v>1.39</v>
      </c>
      <c r="E18" s="34">
        <v>3.23</v>
      </c>
      <c r="F18" s="15"/>
      <c r="G18" s="2" t="s">
        <v>10</v>
      </c>
      <c r="H18" s="18">
        <f t="shared" si="0"/>
        <v>4.4897</v>
      </c>
    </row>
    <row r="19" spans="2:8" x14ac:dyDescent="0.25">
      <c r="B19" s="11"/>
      <c r="C19" s="2" t="s">
        <v>67</v>
      </c>
      <c r="D19" s="34">
        <v>1.39</v>
      </c>
      <c r="E19" s="34">
        <v>3.23</v>
      </c>
      <c r="F19" s="15"/>
      <c r="G19" s="2" t="s">
        <v>10</v>
      </c>
      <c r="H19" s="18">
        <f t="shared" si="0"/>
        <v>4.4897</v>
      </c>
    </row>
    <row r="20" spans="2:8" x14ac:dyDescent="0.25">
      <c r="B20" s="11" t="s">
        <v>71</v>
      </c>
      <c r="C20" s="2" t="s">
        <v>64</v>
      </c>
      <c r="D20" s="34">
        <v>1.73</v>
      </c>
      <c r="E20" s="34">
        <v>3.23</v>
      </c>
      <c r="F20" s="15"/>
      <c r="G20" s="2" t="s">
        <v>10</v>
      </c>
      <c r="H20" s="18">
        <f t="shared" si="0"/>
        <v>5.5879000000000003</v>
      </c>
    </row>
    <row r="21" spans="2:8" x14ac:dyDescent="0.25">
      <c r="B21" s="11"/>
      <c r="C21" s="2" t="s">
        <v>65</v>
      </c>
      <c r="D21" s="34">
        <v>1.73</v>
      </c>
      <c r="E21" s="34">
        <v>3.23</v>
      </c>
      <c r="F21" s="15"/>
      <c r="G21" s="2" t="s">
        <v>10</v>
      </c>
      <c r="H21" s="18">
        <f t="shared" si="0"/>
        <v>5.5879000000000003</v>
      </c>
    </row>
    <row r="22" spans="2:8" x14ac:dyDescent="0.25">
      <c r="B22" s="11"/>
      <c r="C22" s="2" t="s">
        <v>66</v>
      </c>
      <c r="D22" s="34">
        <v>0.78</v>
      </c>
      <c r="E22" s="34">
        <v>2.5</v>
      </c>
      <c r="F22" s="15"/>
      <c r="G22" s="2" t="s">
        <v>10</v>
      </c>
      <c r="H22" s="18">
        <f t="shared" si="0"/>
        <v>1.9500000000000002</v>
      </c>
    </row>
    <row r="23" spans="2:8" x14ac:dyDescent="0.25">
      <c r="B23" s="11"/>
      <c r="C23" s="2" t="s">
        <v>67</v>
      </c>
      <c r="D23" s="34">
        <v>1.38</v>
      </c>
      <c r="E23" s="34">
        <v>3.23</v>
      </c>
      <c r="F23" s="15"/>
      <c r="G23" s="2" t="s">
        <v>10</v>
      </c>
      <c r="H23" s="18">
        <f t="shared" si="0"/>
        <v>4.4573999999999998</v>
      </c>
    </row>
    <row r="24" spans="2:8" x14ac:dyDescent="0.25">
      <c r="B24" s="11" t="s">
        <v>69</v>
      </c>
      <c r="C24" s="2" t="s">
        <v>64</v>
      </c>
      <c r="D24" s="15">
        <v>2.0099999999999998</v>
      </c>
      <c r="E24" s="15">
        <v>3.23</v>
      </c>
      <c r="F24" s="15"/>
      <c r="G24" s="2" t="s">
        <v>10</v>
      </c>
      <c r="H24" s="18">
        <f t="shared" si="0"/>
        <v>6.4922999999999993</v>
      </c>
    </row>
    <row r="25" spans="2:8" x14ac:dyDescent="0.25">
      <c r="B25" s="11"/>
      <c r="C25" s="2" t="s">
        <v>65</v>
      </c>
      <c r="D25" s="15">
        <v>2.0099999999999998</v>
      </c>
      <c r="E25" s="15">
        <v>3.23</v>
      </c>
      <c r="F25" s="15"/>
      <c r="G25" s="2" t="s">
        <v>10</v>
      </c>
      <c r="H25" s="18">
        <f t="shared" si="0"/>
        <v>6.4922999999999993</v>
      </c>
    </row>
    <row r="26" spans="2:8" x14ac:dyDescent="0.25">
      <c r="B26" s="11"/>
      <c r="C26" s="2" t="s">
        <v>66</v>
      </c>
      <c r="D26" s="15">
        <v>1.78</v>
      </c>
      <c r="E26" s="15">
        <v>2.5</v>
      </c>
      <c r="F26" s="15"/>
      <c r="G26" s="2" t="s">
        <v>10</v>
      </c>
      <c r="H26" s="18">
        <f t="shared" si="0"/>
        <v>4.45</v>
      </c>
    </row>
    <row r="27" spans="2:8" x14ac:dyDescent="0.25">
      <c r="B27" s="11"/>
      <c r="C27" s="2" t="s">
        <v>67</v>
      </c>
      <c r="D27" s="15">
        <v>2.67</v>
      </c>
      <c r="E27" s="15">
        <v>2.5</v>
      </c>
      <c r="F27" s="15"/>
      <c r="G27" s="2" t="s">
        <v>10</v>
      </c>
      <c r="H27" s="18">
        <f t="shared" si="0"/>
        <v>6.6749999999999998</v>
      </c>
    </row>
    <row r="28" spans="2:8" x14ac:dyDescent="0.25">
      <c r="B28" s="11" t="s">
        <v>73</v>
      </c>
      <c r="C28" s="2" t="s">
        <v>64</v>
      </c>
      <c r="D28" s="34">
        <f>2.02*3</f>
        <v>6.0600000000000005</v>
      </c>
      <c r="E28" s="34">
        <v>2.5</v>
      </c>
      <c r="F28" s="15"/>
      <c r="G28" s="2" t="s">
        <v>10</v>
      </c>
      <c r="H28" s="18">
        <f t="shared" si="0"/>
        <v>15.150000000000002</v>
      </c>
    </row>
    <row r="29" spans="2:8" x14ac:dyDescent="0.25">
      <c r="B29" s="11"/>
      <c r="C29" s="2" t="s">
        <v>65</v>
      </c>
      <c r="D29" s="34">
        <f>0.85*3</f>
        <v>2.5499999999999998</v>
      </c>
      <c r="E29" s="34">
        <v>2.5</v>
      </c>
      <c r="F29" s="15"/>
      <c r="G29" s="2" t="s">
        <v>10</v>
      </c>
      <c r="H29" s="18">
        <f t="shared" si="0"/>
        <v>6.375</v>
      </c>
    </row>
    <row r="30" spans="2:8" x14ac:dyDescent="0.25">
      <c r="B30" s="11"/>
      <c r="C30" s="2" t="s">
        <v>66</v>
      </c>
      <c r="D30" s="34">
        <f>2.02*3</f>
        <v>6.0600000000000005</v>
      </c>
      <c r="E30" s="34">
        <v>3.23</v>
      </c>
      <c r="F30" s="15"/>
      <c r="G30" s="2" t="s">
        <v>10</v>
      </c>
      <c r="H30" s="18">
        <f t="shared" si="0"/>
        <v>19.573800000000002</v>
      </c>
    </row>
    <row r="31" spans="2:8" x14ac:dyDescent="0.25">
      <c r="B31" s="11"/>
      <c r="C31" s="2" t="s">
        <v>67</v>
      </c>
      <c r="D31" s="34">
        <f>0.25*3</f>
        <v>0.75</v>
      </c>
      <c r="E31" s="34">
        <v>2.5</v>
      </c>
      <c r="F31" s="15"/>
      <c r="G31" s="2" t="s">
        <v>10</v>
      </c>
      <c r="H31" s="18">
        <f t="shared" si="0"/>
        <v>1.875</v>
      </c>
    </row>
    <row r="32" spans="2:8" x14ac:dyDescent="0.25">
      <c r="B32" s="11" t="s">
        <v>70</v>
      </c>
      <c r="C32" s="2" t="s">
        <v>64</v>
      </c>
      <c r="D32" s="15">
        <f>0.21+0.13</f>
        <v>0.33999999999999997</v>
      </c>
      <c r="E32" s="15">
        <v>2.5</v>
      </c>
      <c r="F32" s="15"/>
      <c r="G32" s="2" t="s">
        <v>10</v>
      </c>
      <c r="H32" s="18">
        <f t="shared" si="0"/>
        <v>0.84999999999999987</v>
      </c>
    </row>
    <row r="33" spans="2:8" x14ac:dyDescent="0.25">
      <c r="B33" s="1"/>
      <c r="C33" s="2" t="s">
        <v>65</v>
      </c>
      <c r="D33" s="15">
        <f>0.15+0.4+0.4+0.25</f>
        <v>1.2000000000000002</v>
      </c>
      <c r="E33" s="15">
        <v>2.5</v>
      </c>
      <c r="F33" s="15"/>
      <c r="G33" s="2" t="s">
        <v>10</v>
      </c>
      <c r="H33" s="18">
        <f t="shared" si="0"/>
        <v>3.0000000000000004</v>
      </c>
    </row>
    <row r="34" spans="2:8" x14ac:dyDescent="0.25">
      <c r="B34" s="11"/>
      <c r="C34" s="2" t="s">
        <v>66</v>
      </c>
      <c r="D34" s="15">
        <f>2.45+0.15</f>
        <v>2.6</v>
      </c>
      <c r="E34" s="15">
        <v>3.23</v>
      </c>
      <c r="F34" s="15"/>
      <c r="G34" s="2" t="s">
        <v>10</v>
      </c>
      <c r="H34" s="18">
        <f t="shared" si="0"/>
        <v>8.3979999999999997</v>
      </c>
    </row>
    <row r="35" spans="2:8" x14ac:dyDescent="0.25">
      <c r="B35" s="11"/>
      <c r="C35" s="2"/>
      <c r="D35" s="15"/>
      <c r="E35" s="15"/>
      <c r="F35" s="15"/>
      <c r="G35" s="2"/>
      <c r="H35" s="18"/>
    </row>
    <row r="36" spans="2:8" x14ac:dyDescent="0.25">
      <c r="B36" s="11" t="s">
        <v>74</v>
      </c>
      <c r="C36" s="2" t="s">
        <v>64</v>
      </c>
      <c r="D36" s="15">
        <v>2.7</v>
      </c>
      <c r="E36" s="15">
        <v>3.23</v>
      </c>
      <c r="F36" s="15">
        <f>1*2.1</f>
        <v>2.1</v>
      </c>
      <c r="G36" s="2" t="s">
        <v>10</v>
      </c>
      <c r="H36" s="18">
        <f t="shared" si="0"/>
        <v>6.6210000000000004</v>
      </c>
    </row>
    <row r="37" spans="2:8" x14ac:dyDescent="0.25">
      <c r="B37" s="11"/>
      <c r="C37" s="2" t="s">
        <v>65</v>
      </c>
      <c r="D37" s="15">
        <v>1.65</v>
      </c>
      <c r="E37" s="15">
        <v>2.5</v>
      </c>
      <c r="F37" s="15"/>
      <c r="G37" s="2" t="s">
        <v>10</v>
      </c>
      <c r="H37" s="18">
        <f t="shared" si="0"/>
        <v>4.125</v>
      </c>
    </row>
    <row r="38" spans="2:8" x14ac:dyDescent="0.25">
      <c r="B38" s="11"/>
      <c r="C38" s="2" t="s">
        <v>66</v>
      </c>
      <c r="D38" s="15">
        <v>2.66</v>
      </c>
      <c r="E38" s="15">
        <v>3.23</v>
      </c>
      <c r="F38" s="15"/>
      <c r="G38" s="2" t="s">
        <v>10</v>
      </c>
      <c r="H38" s="18">
        <f t="shared" si="0"/>
        <v>8.591800000000001</v>
      </c>
    </row>
    <row r="39" spans="2:8" x14ac:dyDescent="0.25">
      <c r="B39" s="11"/>
      <c r="C39" s="2" t="s">
        <v>67</v>
      </c>
      <c r="D39" s="15">
        <v>2.66</v>
      </c>
      <c r="E39" s="15">
        <v>3.23</v>
      </c>
      <c r="F39" s="15"/>
      <c r="G39" s="2" t="s">
        <v>10</v>
      </c>
      <c r="H39" s="18">
        <f t="shared" si="0"/>
        <v>8.591800000000001</v>
      </c>
    </row>
    <row r="40" spans="2:8" x14ac:dyDescent="0.25">
      <c r="B40" s="11" t="s">
        <v>75</v>
      </c>
      <c r="C40" s="2" t="s">
        <v>64</v>
      </c>
      <c r="D40" s="34">
        <v>0.89</v>
      </c>
      <c r="E40" s="34">
        <v>3.23</v>
      </c>
      <c r="F40" s="15"/>
      <c r="G40" s="2" t="s">
        <v>10</v>
      </c>
      <c r="H40" s="18">
        <f t="shared" si="0"/>
        <v>2.8746999999999998</v>
      </c>
    </row>
    <row r="41" spans="2:8" x14ac:dyDescent="0.25">
      <c r="B41" s="11"/>
      <c r="C41" s="2" t="s">
        <v>65</v>
      </c>
      <c r="D41" s="34">
        <v>0.28999999999999998</v>
      </c>
      <c r="E41" s="34">
        <v>2.5</v>
      </c>
      <c r="F41" s="15"/>
      <c r="G41" s="2" t="s">
        <v>10</v>
      </c>
      <c r="H41" s="18">
        <f t="shared" si="0"/>
        <v>0.72499999999999998</v>
      </c>
    </row>
    <row r="42" spans="2:8" x14ac:dyDescent="0.25">
      <c r="B42" s="11"/>
      <c r="C42" s="2" t="s">
        <v>66</v>
      </c>
      <c r="D42" s="34">
        <v>1.38</v>
      </c>
      <c r="E42" s="34">
        <v>3.23</v>
      </c>
      <c r="F42" s="15"/>
      <c r="G42" s="2" t="s">
        <v>10</v>
      </c>
      <c r="H42" s="18">
        <f t="shared" si="0"/>
        <v>4.4573999999999998</v>
      </c>
    </row>
    <row r="43" spans="2:8" x14ac:dyDescent="0.25">
      <c r="B43" s="11"/>
      <c r="C43" s="2" t="s">
        <v>67</v>
      </c>
      <c r="D43" s="34">
        <v>1.38</v>
      </c>
      <c r="E43" s="34">
        <v>3.23</v>
      </c>
      <c r="F43" s="15"/>
      <c r="G43" s="2" t="s">
        <v>10</v>
      </c>
      <c r="H43" s="18">
        <f t="shared" si="0"/>
        <v>4.4573999999999998</v>
      </c>
    </row>
    <row r="44" spans="2:8" x14ac:dyDescent="0.25">
      <c r="B44" s="11" t="s">
        <v>76</v>
      </c>
      <c r="C44" s="2" t="s">
        <v>64</v>
      </c>
      <c r="D44" s="15">
        <v>1.64</v>
      </c>
      <c r="E44" s="15">
        <v>2.5</v>
      </c>
      <c r="F44" s="15"/>
      <c r="G44" s="2" t="s">
        <v>10</v>
      </c>
      <c r="H44" s="18">
        <f t="shared" si="0"/>
        <v>4.0999999999999996</v>
      </c>
    </row>
    <row r="45" spans="2:8" x14ac:dyDescent="0.25">
      <c r="B45" s="11"/>
      <c r="C45" s="2" t="s">
        <v>65</v>
      </c>
      <c r="D45" s="15">
        <v>2.54</v>
      </c>
      <c r="E45" s="15">
        <v>3.23</v>
      </c>
      <c r="F45" s="15"/>
      <c r="G45" s="2" t="s">
        <v>10</v>
      </c>
      <c r="H45" s="18">
        <f t="shared" si="0"/>
        <v>8.2042000000000002</v>
      </c>
    </row>
    <row r="46" spans="2:8" x14ac:dyDescent="0.25">
      <c r="B46" s="11"/>
      <c r="C46" s="2" t="s">
        <v>66</v>
      </c>
      <c r="D46" s="15">
        <v>1.54</v>
      </c>
      <c r="E46" s="15">
        <v>2.5</v>
      </c>
      <c r="F46" s="15"/>
      <c r="G46" s="2" t="s">
        <v>10</v>
      </c>
      <c r="H46" s="18">
        <f t="shared" si="0"/>
        <v>3.85</v>
      </c>
    </row>
    <row r="47" spans="2:8" x14ac:dyDescent="0.25">
      <c r="B47" s="11"/>
      <c r="C47" s="2" t="s">
        <v>67</v>
      </c>
      <c r="D47" s="15">
        <v>1.54</v>
      </c>
      <c r="E47" s="15">
        <v>2.5</v>
      </c>
      <c r="F47" s="15"/>
      <c r="G47" s="2" t="s">
        <v>10</v>
      </c>
      <c r="H47" s="18">
        <f t="shared" si="0"/>
        <v>3.85</v>
      </c>
    </row>
    <row r="48" spans="2:8" x14ac:dyDescent="0.25">
      <c r="B48" s="11" t="s">
        <v>77</v>
      </c>
      <c r="C48" s="2" t="s">
        <v>64</v>
      </c>
      <c r="D48" s="34">
        <f>0.11+0.11</f>
        <v>0.22</v>
      </c>
      <c r="E48" s="34">
        <v>2.5</v>
      </c>
      <c r="F48" s="15"/>
      <c r="G48" s="2" t="s">
        <v>10</v>
      </c>
      <c r="H48" s="18">
        <f t="shared" si="0"/>
        <v>0.55000000000000004</v>
      </c>
    </row>
    <row r="49" spans="2:8" x14ac:dyDescent="0.25">
      <c r="B49" s="11"/>
      <c r="C49" s="2" t="s">
        <v>65</v>
      </c>
      <c r="D49" s="34">
        <v>0.82</v>
      </c>
      <c r="E49" s="34">
        <v>3.23</v>
      </c>
      <c r="F49" s="15"/>
      <c r="G49" s="2" t="s">
        <v>10</v>
      </c>
      <c r="H49" s="18">
        <f t="shared" si="0"/>
        <v>2.6485999999999996</v>
      </c>
    </row>
    <row r="50" spans="2:8" x14ac:dyDescent="0.25">
      <c r="B50" s="11"/>
      <c r="C50" s="2" t="s">
        <v>66</v>
      </c>
      <c r="D50" s="34">
        <v>1.39</v>
      </c>
      <c r="E50" s="34">
        <v>3.23</v>
      </c>
      <c r="F50" s="15"/>
      <c r="G50" s="2" t="s">
        <v>10</v>
      </c>
      <c r="H50" s="18">
        <f t="shared" si="0"/>
        <v>4.4897</v>
      </c>
    </row>
    <row r="51" spans="2:8" x14ac:dyDescent="0.25">
      <c r="B51" s="11"/>
      <c r="C51" s="2" t="s">
        <v>67</v>
      </c>
      <c r="D51" s="34">
        <v>1.39</v>
      </c>
      <c r="E51" s="34">
        <v>2.5</v>
      </c>
      <c r="F51" s="15"/>
      <c r="G51" s="2" t="s">
        <v>10</v>
      </c>
      <c r="H51" s="18">
        <f t="shared" si="0"/>
        <v>3.4749999999999996</v>
      </c>
    </row>
    <row r="52" spans="2:8" x14ac:dyDescent="0.25">
      <c r="B52" s="11" t="s">
        <v>78</v>
      </c>
      <c r="C52" s="2" t="s">
        <v>64</v>
      </c>
      <c r="D52" s="34">
        <f>(0.11+0.11)*3</f>
        <v>0.66</v>
      </c>
      <c r="E52" s="34">
        <v>2.5</v>
      </c>
      <c r="F52" s="15"/>
      <c r="G52" s="2" t="s">
        <v>10</v>
      </c>
      <c r="H52" s="18">
        <f t="shared" ref="H52:H55" si="1">D52*E52-F52</f>
        <v>1.6500000000000001</v>
      </c>
    </row>
    <row r="53" spans="2:8" x14ac:dyDescent="0.25">
      <c r="B53" s="11"/>
      <c r="C53" s="2" t="s">
        <v>65</v>
      </c>
      <c r="D53" s="34">
        <f>0.82*3</f>
        <v>2.46</v>
      </c>
      <c r="E53" s="34">
        <v>2.5</v>
      </c>
      <c r="F53" s="15"/>
      <c r="G53" s="2" t="s">
        <v>10</v>
      </c>
      <c r="H53" s="18">
        <f t="shared" si="1"/>
        <v>6.15</v>
      </c>
    </row>
    <row r="54" spans="2:8" x14ac:dyDescent="0.25">
      <c r="B54" s="11"/>
      <c r="C54" s="2" t="s">
        <v>66</v>
      </c>
      <c r="D54" s="34">
        <f>1.39*3</f>
        <v>4.17</v>
      </c>
      <c r="E54" s="34">
        <v>2.5</v>
      </c>
      <c r="F54" s="15"/>
      <c r="G54" s="2" t="s">
        <v>10</v>
      </c>
      <c r="H54" s="18">
        <f t="shared" si="1"/>
        <v>10.425000000000001</v>
      </c>
    </row>
    <row r="55" spans="2:8" x14ac:dyDescent="0.25">
      <c r="B55" s="11"/>
      <c r="C55" s="2" t="s">
        <v>67</v>
      </c>
      <c r="D55" s="34">
        <f>1.39*3</f>
        <v>4.17</v>
      </c>
      <c r="E55" s="34">
        <v>2.5</v>
      </c>
      <c r="F55" s="15"/>
      <c r="G55" s="2" t="s">
        <v>10</v>
      </c>
      <c r="H55" s="18">
        <f t="shared" si="1"/>
        <v>10.425000000000001</v>
      </c>
    </row>
    <row r="56" spans="2:8" x14ac:dyDescent="0.25">
      <c r="B56" s="11" t="s">
        <v>79</v>
      </c>
      <c r="C56" s="2" t="s">
        <v>64</v>
      </c>
      <c r="D56" s="15">
        <v>1.65</v>
      </c>
      <c r="E56" s="15">
        <v>2.5</v>
      </c>
      <c r="F56" s="15"/>
      <c r="G56" s="2" t="s">
        <v>10</v>
      </c>
      <c r="H56" s="18">
        <f t="shared" si="0"/>
        <v>4.125</v>
      </c>
    </row>
    <row r="57" spans="2:8" x14ac:dyDescent="0.25">
      <c r="B57" s="1"/>
      <c r="C57" s="2" t="s">
        <v>65</v>
      </c>
      <c r="D57" s="15">
        <v>0.85</v>
      </c>
      <c r="E57" s="15">
        <v>3.23</v>
      </c>
      <c r="F57" s="15"/>
      <c r="G57" s="2" t="s">
        <v>10</v>
      </c>
      <c r="H57" s="18">
        <f t="shared" si="0"/>
        <v>2.7454999999999998</v>
      </c>
    </row>
    <row r="58" spans="2:8" x14ac:dyDescent="0.25">
      <c r="B58" s="11"/>
      <c r="C58" s="2" t="s">
        <v>66</v>
      </c>
      <c r="D58" s="15">
        <v>2.17</v>
      </c>
      <c r="E58" s="15">
        <v>3.23</v>
      </c>
      <c r="F58" s="15"/>
      <c r="G58" s="2" t="s">
        <v>10</v>
      </c>
      <c r="H58" s="18">
        <f t="shared" si="0"/>
        <v>7.0091000000000001</v>
      </c>
    </row>
    <row r="59" spans="2:8" x14ac:dyDescent="0.25">
      <c r="B59" s="11"/>
      <c r="C59" s="2" t="s">
        <v>67</v>
      </c>
      <c r="D59" s="15">
        <v>1.79</v>
      </c>
      <c r="E59" s="15">
        <v>2.5</v>
      </c>
      <c r="F59" s="15"/>
      <c r="G59" s="2" t="s">
        <v>10</v>
      </c>
      <c r="H59" s="18">
        <f t="shared" si="0"/>
        <v>4.4749999999999996</v>
      </c>
    </row>
    <row r="60" spans="2:8" x14ac:dyDescent="0.25">
      <c r="B60" s="11"/>
      <c r="C60" s="2" t="s">
        <v>68</v>
      </c>
      <c r="D60" s="15">
        <f>0.35*4</f>
        <v>1.4</v>
      </c>
      <c r="E60" s="15">
        <v>2.5</v>
      </c>
      <c r="F60" s="15"/>
      <c r="G60" s="2" t="s">
        <v>10</v>
      </c>
      <c r="H60" s="18">
        <f t="shared" si="0"/>
        <v>3.5</v>
      </c>
    </row>
    <row r="61" spans="2:8" x14ac:dyDescent="0.25">
      <c r="B61" s="11"/>
      <c r="C61" s="2" t="s">
        <v>81</v>
      </c>
      <c r="D61" s="15">
        <v>1.51</v>
      </c>
      <c r="E61" s="15">
        <v>3.23</v>
      </c>
      <c r="F61" s="15"/>
      <c r="G61" s="2" t="s">
        <v>10</v>
      </c>
      <c r="H61" s="18">
        <f t="shared" si="0"/>
        <v>4.8773</v>
      </c>
    </row>
    <row r="62" spans="2:8" x14ac:dyDescent="0.25">
      <c r="B62" s="11"/>
      <c r="C62" s="2" t="s">
        <v>82</v>
      </c>
      <c r="D62" s="15">
        <v>1.53</v>
      </c>
      <c r="E62" s="15">
        <v>2.5</v>
      </c>
      <c r="F62" s="15"/>
      <c r="G62" s="2" t="s">
        <v>10</v>
      </c>
      <c r="H62" s="18">
        <f t="shared" si="0"/>
        <v>3.8250000000000002</v>
      </c>
    </row>
    <row r="63" spans="2:8" x14ac:dyDescent="0.25">
      <c r="B63" s="11"/>
      <c r="C63" s="2" t="s">
        <v>83</v>
      </c>
      <c r="D63" s="15">
        <v>2.89</v>
      </c>
      <c r="E63" s="15">
        <v>2.5</v>
      </c>
      <c r="F63" s="15"/>
      <c r="G63" s="2" t="s">
        <v>10</v>
      </c>
      <c r="H63" s="18">
        <f t="shared" si="0"/>
        <v>7.2250000000000005</v>
      </c>
    </row>
    <row r="64" spans="2:8" x14ac:dyDescent="0.25">
      <c r="B64" s="6" t="s">
        <v>23</v>
      </c>
      <c r="C64" s="7"/>
      <c r="D64" s="19"/>
      <c r="E64" s="19"/>
      <c r="F64" s="19"/>
      <c r="G64" s="7"/>
      <c r="H64" s="20">
        <f>SUM(H11:H63)</f>
        <v>289.89240000000007</v>
      </c>
    </row>
    <row r="66" spans="2:8" x14ac:dyDescent="0.25">
      <c r="B66" s="4"/>
      <c r="C66" s="5" t="s">
        <v>85</v>
      </c>
      <c r="D66" s="16" t="s">
        <v>3</v>
      </c>
      <c r="E66" s="16" t="s">
        <v>4</v>
      </c>
      <c r="F66" s="16" t="s">
        <v>55</v>
      </c>
      <c r="G66" s="5" t="s">
        <v>5</v>
      </c>
      <c r="H66" s="17" t="s">
        <v>6</v>
      </c>
    </row>
    <row r="67" spans="2:8" x14ac:dyDescent="0.25">
      <c r="B67" s="11" t="s">
        <v>80</v>
      </c>
      <c r="C67" s="2" t="s">
        <v>64</v>
      </c>
      <c r="D67" s="15">
        <v>2.7</v>
      </c>
      <c r="E67" s="15">
        <v>1.5</v>
      </c>
      <c r="F67" s="15"/>
      <c r="G67" s="2" t="s">
        <v>10</v>
      </c>
      <c r="H67" s="18">
        <f>D67*E67-F67</f>
        <v>4.0500000000000007</v>
      </c>
    </row>
    <row r="68" spans="2:8" x14ac:dyDescent="0.25">
      <c r="B68" s="11"/>
      <c r="C68" s="2" t="s">
        <v>65</v>
      </c>
      <c r="D68" s="15">
        <v>0.73</v>
      </c>
      <c r="E68" s="15">
        <v>1.5</v>
      </c>
      <c r="F68" s="15"/>
      <c r="G68" s="2" t="s">
        <v>10</v>
      </c>
      <c r="H68" s="18">
        <f t="shared" ref="H68:H90" si="2">D68*E68-F68</f>
        <v>1.095</v>
      </c>
    </row>
    <row r="69" spans="2:8" x14ac:dyDescent="0.25">
      <c r="B69" s="11"/>
      <c r="C69" s="2" t="s">
        <v>66</v>
      </c>
      <c r="D69" s="15">
        <v>2.02</v>
      </c>
      <c r="E69" s="15">
        <v>0.8</v>
      </c>
      <c r="F69" s="15"/>
      <c r="G69" s="2" t="s">
        <v>10</v>
      </c>
      <c r="H69" s="18">
        <f t="shared" si="2"/>
        <v>1.6160000000000001</v>
      </c>
    </row>
    <row r="70" spans="2:8" x14ac:dyDescent="0.25">
      <c r="B70" s="11"/>
      <c r="C70" s="2" t="s">
        <v>67</v>
      </c>
      <c r="D70" s="15">
        <v>2.85</v>
      </c>
      <c r="E70" s="15">
        <v>1.5</v>
      </c>
      <c r="F70" s="15"/>
      <c r="G70" s="2" t="s">
        <v>10</v>
      </c>
      <c r="H70" s="18">
        <f t="shared" si="2"/>
        <v>4.2750000000000004</v>
      </c>
    </row>
    <row r="71" spans="2:8" x14ac:dyDescent="0.25">
      <c r="B71" s="11"/>
      <c r="C71" s="2" t="s">
        <v>68</v>
      </c>
      <c r="D71" s="15">
        <v>1.8</v>
      </c>
      <c r="E71" s="15">
        <v>1.5</v>
      </c>
      <c r="F71" s="15"/>
      <c r="G71" s="2" t="s">
        <v>10</v>
      </c>
      <c r="H71" s="18">
        <f t="shared" si="2"/>
        <v>2.7</v>
      </c>
    </row>
    <row r="72" spans="2:8" x14ac:dyDescent="0.25">
      <c r="B72" s="11" t="s">
        <v>72</v>
      </c>
      <c r="C72" s="2" t="s">
        <v>64</v>
      </c>
      <c r="D72" s="34">
        <v>2.23</v>
      </c>
      <c r="E72" s="34">
        <v>1.5</v>
      </c>
      <c r="F72" s="15"/>
      <c r="G72" s="2" t="s">
        <v>10</v>
      </c>
      <c r="H72" s="18">
        <f t="shared" si="2"/>
        <v>3.3449999999999998</v>
      </c>
    </row>
    <row r="73" spans="2:8" x14ac:dyDescent="0.25">
      <c r="B73" s="11"/>
      <c r="C73" s="2" t="s">
        <v>65</v>
      </c>
      <c r="D73" s="34">
        <v>2.98</v>
      </c>
      <c r="E73" s="34">
        <v>1.5</v>
      </c>
      <c r="F73" s="15"/>
      <c r="G73" s="2" t="s">
        <v>10</v>
      </c>
      <c r="H73" s="18">
        <f t="shared" si="2"/>
        <v>4.47</v>
      </c>
    </row>
    <row r="74" spans="2:8" x14ac:dyDescent="0.25">
      <c r="B74" s="11"/>
      <c r="C74" s="2" t="s">
        <v>66</v>
      </c>
      <c r="D74" s="34">
        <v>1.39</v>
      </c>
      <c r="E74" s="34">
        <v>1.5</v>
      </c>
      <c r="F74" s="15"/>
      <c r="G74" s="2" t="s">
        <v>10</v>
      </c>
      <c r="H74" s="18">
        <f t="shared" si="2"/>
        <v>2.085</v>
      </c>
    </row>
    <row r="75" spans="2:8" x14ac:dyDescent="0.25">
      <c r="B75" s="11"/>
      <c r="C75" s="2" t="s">
        <v>67</v>
      </c>
      <c r="D75" s="34">
        <v>1.39</v>
      </c>
      <c r="E75" s="34">
        <v>1.5</v>
      </c>
      <c r="F75" s="15"/>
      <c r="G75" s="2" t="s">
        <v>10</v>
      </c>
      <c r="H75" s="18">
        <f t="shared" si="2"/>
        <v>2.085</v>
      </c>
    </row>
    <row r="76" spans="2:8" x14ac:dyDescent="0.25">
      <c r="B76" s="11" t="s">
        <v>71</v>
      </c>
      <c r="C76" s="2" t="s">
        <v>64</v>
      </c>
      <c r="D76" s="34">
        <v>1.73</v>
      </c>
      <c r="E76" s="34">
        <v>1.5</v>
      </c>
      <c r="F76" s="15"/>
      <c r="G76" s="2" t="s">
        <v>10</v>
      </c>
      <c r="H76" s="18">
        <f t="shared" si="2"/>
        <v>2.5949999999999998</v>
      </c>
    </row>
    <row r="77" spans="2:8" x14ac:dyDescent="0.25">
      <c r="B77" s="11"/>
      <c r="C77" s="2" t="s">
        <v>65</v>
      </c>
      <c r="D77" s="34">
        <v>1.73</v>
      </c>
      <c r="E77" s="34">
        <v>1.5</v>
      </c>
      <c r="F77" s="15"/>
      <c r="G77" s="2" t="s">
        <v>10</v>
      </c>
      <c r="H77" s="18">
        <f t="shared" si="2"/>
        <v>2.5949999999999998</v>
      </c>
    </row>
    <row r="78" spans="2:8" x14ac:dyDescent="0.25">
      <c r="B78" s="11"/>
      <c r="C78" s="2" t="s">
        <v>66</v>
      </c>
      <c r="D78" s="34">
        <v>0.78</v>
      </c>
      <c r="E78" s="34">
        <v>1.5</v>
      </c>
      <c r="F78" s="15"/>
      <c r="G78" s="2" t="s">
        <v>10</v>
      </c>
      <c r="H78" s="18">
        <f t="shared" si="2"/>
        <v>1.17</v>
      </c>
    </row>
    <row r="79" spans="2:8" x14ac:dyDescent="0.25">
      <c r="B79" s="11"/>
      <c r="C79" s="2" t="s">
        <v>67</v>
      </c>
      <c r="D79" s="34">
        <v>1.38</v>
      </c>
      <c r="E79" s="34">
        <v>1.5</v>
      </c>
      <c r="F79" s="15"/>
      <c r="G79" s="2" t="s">
        <v>10</v>
      </c>
      <c r="H79" s="18">
        <f t="shared" si="2"/>
        <v>2.0699999999999998</v>
      </c>
    </row>
    <row r="80" spans="2:8" x14ac:dyDescent="0.25">
      <c r="B80" s="11" t="s">
        <v>69</v>
      </c>
      <c r="C80" s="2" t="s">
        <v>64</v>
      </c>
      <c r="D80" s="15">
        <v>2.0099999999999998</v>
      </c>
      <c r="E80" s="34">
        <v>1.5</v>
      </c>
      <c r="F80" s="15"/>
      <c r="G80" s="2" t="s">
        <v>10</v>
      </c>
      <c r="H80" s="18">
        <f t="shared" si="2"/>
        <v>3.0149999999999997</v>
      </c>
    </row>
    <row r="81" spans="2:8" x14ac:dyDescent="0.25">
      <c r="B81" s="11"/>
      <c r="C81" s="2" t="s">
        <v>65</v>
      </c>
      <c r="D81" s="15">
        <v>2.0099999999999998</v>
      </c>
      <c r="E81" s="34">
        <v>1.5</v>
      </c>
      <c r="F81" s="15"/>
      <c r="G81" s="2" t="s">
        <v>10</v>
      </c>
      <c r="H81" s="18">
        <f t="shared" si="2"/>
        <v>3.0149999999999997</v>
      </c>
    </row>
    <row r="82" spans="2:8" x14ac:dyDescent="0.25">
      <c r="B82" s="11"/>
      <c r="C82" s="2" t="s">
        <v>66</v>
      </c>
      <c r="D82" s="15">
        <v>1.78</v>
      </c>
      <c r="E82" s="34">
        <v>1.5</v>
      </c>
      <c r="F82" s="15"/>
      <c r="G82" s="2" t="s">
        <v>10</v>
      </c>
      <c r="H82" s="18">
        <f t="shared" si="2"/>
        <v>2.67</v>
      </c>
    </row>
    <row r="83" spans="2:8" x14ac:dyDescent="0.25">
      <c r="B83" s="11"/>
      <c r="C83" s="2" t="s">
        <v>67</v>
      </c>
      <c r="D83" s="15">
        <v>2.67</v>
      </c>
      <c r="E83" s="34">
        <v>1.5</v>
      </c>
      <c r="F83" s="15"/>
      <c r="G83" s="2" t="s">
        <v>10</v>
      </c>
      <c r="H83" s="18">
        <f t="shared" si="2"/>
        <v>4.0049999999999999</v>
      </c>
    </row>
    <row r="84" spans="2:8" x14ac:dyDescent="0.25">
      <c r="B84" s="11" t="s">
        <v>73</v>
      </c>
      <c r="C84" s="2" t="s">
        <v>64</v>
      </c>
      <c r="D84" s="34">
        <f>2.02*3</f>
        <v>6.0600000000000005</v>
      </c>
      <c r="E84" s="34">
        <v>1.5</v>
      </c>
      <c r="F84" s="15"/>
      <c r="G84" s="2" t="s">
        <v>10</v>
      </c>
      <c r="H84" s="18">
        <f t="shared" si="2"/>
        <v>9.09</v>
      </c>
    </row>
    <row r="85" spans="2:8" x14ac:dyDescent="0.25">
      <c r="B85" s="11"/>
      <c r="C85" s="2" t="s">
        <v>65</v>
      </c>
      <c r="D85" s="34">
        <f>2.02*3</f>
        <v>6.0600000000000005</v>
      </c>
      <c r="E85" s="34">
        <v>1.5</v>
      </c>
      <c r="F85" s="15"/>
      <c r="G85" s="2" t="s">
        <v>10</v>
      </c>
      <c r="H85" s="18">
        <f t="shared" si="2"/>
        <v>9.09</v>
      </c>
    </row>
    <row r="86" spans="2:8" x14ac:dyDescent="0.25">
      <c r="B86" s="11"/>
      <c r="C86" s="2" t="s">
        <v>66</v>
      </c>
      <c r="D86" s="34">
        <f>0.85*3</f>
        <v>2.5499999999999998</v>
      </c>
      <c r="E86" s="34">
        <v>1.5</v>
      </c>
      <c r="F86" s="15"/>
      <c r="G86" s="2" t="s">
        <v>10</v>
      </c>
      <c r="H86" s="18">
        <f t="shared" si="2"/>
        <v>3.8249999999999997</v>
      </c>
    </row>
    <row r="87" spans="2:8" x14ac:dyDescent="0.25">
      <c r="B87" s="11"/>
      <c r="C87" s="2" t="s">
        <v>67</v>
      </c>
      <c r="D87" s="34">
        <f>0.25*3</f>
        <v>0.75</v>
      </c>
      <c r="E87" s="34">
        <v>1.5</v>
      </c>
      <c r="F87" s="15"/>
      <c r="G87" s="2" t="s">
        <v>10</v>
      </c>
      <c r="H87" s="18">
        <f t="shared" si="2"/>
        <v>1.125</v>
      </c>
    </row>
    <row r="88" spans="2:8" x14ac:dyDescent="0.25">
      <c r="B88" s="11" t="s">
        <v>70</v>
      </c>
      <c r="C88" s="2" t="s">
        <v>64</v>
      </c>
      <c r="D88" s="15">
        <f>0.21+0.13</f>
        <v>0.33999999999999997</v>
      </c>
      <c r="E88" s="34">
        <v>1.5</v>
      </c>
      <c r="F88" s="15"/>
      <c r="G88" s="2" t="s">
        <v>10</v>
      </c>
      <c r="H88" s="18">
        <f t="shared" si="2"/>
        <v>0.51</v>
      </c>
    </row>
    <row r="89" spans="2:8" x14ac:dyDescent="0.25">
      <c r="B89" s="1"/>
      <c r="C89" s="2" t="s">
        <v>65</v>
      </c>
      <c r="D89" s="15">
        <f>0.15+0.4+0.4+0.25</f>
        <v>1.2000000000000002</v>
      </c>
      <c r="E89" s="34">
        <v>1.5</v>
      </c>
      <c r="F89" s="15"/>
      <c r="G89" s="2" t="s">
        <v>10</v>
      </c>
      <c r="H89" s="18">
        <f t="shared" si="2"/>
        <v>1.8000000000000003</v>
      </c>
    </row>
    <row r="90" spans="2:8" x14ac:dyDescent="0.25">
      <c r="B90" s="11"/>
      <c r="C90" s="2" t="s">
        <v>66</v>
      </c>
      <c r="D90" s="15">
        <f>2.45+0.15</f>
        <v>2.6</v>
      </c>
      <c r="E90" s="34">
        <v>1.5</v>
      </c>
      <c r="F90" s="15"/>
      <c r="G90" s="2" t="s">
        <v>10</v>
      </c>
      <c r="H90" s="18">
        <f t="shared" si="2"/>
        <v>3.9000000000000004</v>
      </c>
    </row>
    <row r="91" spans="2:8" x14ac:dyDescent="0.25">
      <c r="B91" s="11"/>
      <c r="C91" s="2"/>
      <c r="D91" s="15"/>
      <c r="E91" s="15"/>
      <c r="F91" s="15"/>
      <c r="G91" s="2"/>
      <c r="H91" s="18"/>
    </row>
    <row r="92" spans="2:8" x14ac:dyDescent="0.25">
      <c r="B92" s="11" t="s">
        <v>74</v>
      </c>
      <c r="C92" s="2" t="s">
        <v>64</v>
      </c>
      <c r="D92" s="15">
        <v>2.7</v>
      </c>
      <c r="E92" s="15">
        <v>1.5</v>
      </c>
      <c r="F92" s="15"/>
      <c r="G92" s="2" t="s">
        <v>10</v>
      </c>
      <c r="H92" s="18">
        <f t="shared" ref="H92:H119" si="3">D92*E92-F92</f>
        <v>4.0500000000000007</v>
      </c>
    </row>
    <row r="93" spans="2:8" x14ac:dyDescent="0.25">
      <c r="B93" s="11"/>
      <c r="C93" s="2" t="s">
        <v>65</v>
      </c>
      <c r="D93" s="15">
        <v>1.65</v>
      </c>
      <c r="E93" s="15">
        <v>1.5</v>
      </c>
      <c r="F93" s="15"/>
      <c r="G93" s="2" t="s">
        <v>10</v>
      </c>
      <c r="H93" s="18">
        <f t="shared" si="3"/>
        <v>2.4749999999999996</v>
      </c>
    </row>
    <row r="94" spans="2:8" x14ac:dyDescent="0.25">
      <c r="B94" s="11"/>
      <c r="C94" s="2" t="s">
        <v>66</v>
      </c>
      <c r="D94" s="15">
        <v>2.67</v>
      </c>
      <c r="E94" s="15">
        <v>0.8</v>
      </c>
      <c r="F94" s="15"/>
      <c r="G94" s="2" t="s">
        <v>10</v>
      </c>
      <c r="H94" s="18">
        <f t="shared" si="3"/>
        <v>2.1360000000000001</v>
      </c>
    </row>
    <row r="95" spans="2:8" x14ac:dyDescent="0.25">
      <c r="B95" s="11"/>
      <c r="C95" s="2" t="s">
        <v>67</v>
      </c>
      <c r="D95" s="15">
        <v>2.67</v>
      </c>
      <c r="E95" s="15">
        <v>1.5</v>
      </c>
      <c r="F95" s="15"/>
      <c r="G95" s="2" t="s">
        <v>10</v>
      </c>
      <c r="H95" s="18">
        <f t="shared" si="3"/>
        <v>4.0049999999999999</v>
      </c>
    </row>
    <row r="96" spans="2:8" x14ac:dyDescent="0.25">
      <c r="B96" s="11" t="s">
        <v>75</v>
      </c>
      <c r="C96" s="2" t="s">
        <v>64</v>
      </c>
      <c r="D96" s="34">
        <v>0.89</v>
      </c>
      <c r="E96" s="34">
        <v>1.5</v>
      </c>
      <c r="F96" s="15"/>
      <c r="G96" s="2" t="s">
        <v>10</v>
      </c>
      <c r="H96" s="18">
        <f t="shared" si="3"/>
        <v>1.335</v>
      </c>
    </row>
    <row r="97" spans="2:8" x14ac:dyDescent="0.25">
      <c r="B97" s="11"/>
      <c r="C97" s="2" t="s">
        <v>65</v>
      </c>
      <c r="D97" s="34">
        <v>0.28999999999999998</v>
      </c>
      <c r="E97" s="34">
        <v>1.5</v>
      </c>
      <c r="F97" s="15"/>
      <c r="G97" s="2" t="s">
        <v>10</v>
      </c>
      <c r="H97" s="18">
        <f t="shared" si="3"/>
        <v>0.43499999999999994</v>
      </c>
    </row>
    <row r="98" spans="2:8" x14ac:dyDescent="0.25">
      <c r="B98" s="11"/>
      <c r="C98" s="2" t="s">
        <v>66</v>
      </c>
      <c r="D98" s="34">
        <v>1.38</v>
      </c>
      <c r="E98" s="34">
        <v>1.5</v>
      </c>
      <c r="F98" s="15"/>
      <c r="G98" s="2" t="s">
        <v>10</v>
      </c>
      <c r="H98" s="18">
        <f t="shared" si="3"/>
        <v>2.0699999999999998</v>
      </c>
    </row>
    <row r="99" spans="2:8" x14ac:dyDescent="0.25">
      <c r="B99" s="11"/>
      <c r="C99" s="2" t="s">
        <v>67</v>
      </c>
      <c r="D99" s="34">
        <v>1.38</v>
      </c>
      <c r="E99" s="34">
        <v>1.5</v>
      </c>
      <c r="F99" s="15"/>
      <c r="G99" s="2" t="s">
        <v>10</v>
      </c>
      <c r="H99" s="18">
        <f t="shared" si="3"/>
        <v>2.0699999999999998</v>
      </c>
    </row>
    <row r="100" spans="2:8" x14ac:dyDescent="0.25">
      <c r="B100" s="11" t="s">
        <v>76</v>
      </c>
      <c r="C100" s="2" t="s">
        <v>64</v>
      </c>
      <c r="D100" s="15">
        <v>1.64</v>
      </c>
      <c r="E100" s="34">
        <v>1.5</v>
      </c>
      <c r="F100" s="15"/>
      <c r="G100" s="2" t="s">
        <v>10</v>
      </c>
      <c r="H100" s="18">
        <f t="shared" si="3"/>
        <v>2.46</v>
      </c>
    </row>
    <row r="101" spans="2:8" x14ac:dyDescent="0.25">
      <c r="B101" s="11"/>
      <c r="C101" s="2" t="s">
        <v>65</v>
      </c>
      <c r="D101" s="15">
        <v>2.54</v>
      </c>
      <c r="E101" s="34">
        <v>1.5</v>
      </c>
      <c r="F101" s="15"/>
      <c r="G101" s="2" t="s">
        <v>10</v>
      </c>
      <c r="H101" s="18">
        <f t="shared" si="3"/>
        <v>3.81</v>
      </c>
    </row>
    <row r="102" spans="2:8" x14ac:dyDescent="0.25">
      <c r="B102" s="11"/>
      <c r="C102" s="2" t="s">
        <v>66</v>
      </c>
      <c r="D102" s="15">
        <v>1.54</v>
      </c>
      <c r="E102" s="34">
        <v>1.5</v>
      </c>
      <c r="F102" s="15"/>
      <c r="G102" s="2" t="s">
        <v>10</v>
      </c>
      <c r="H102" s="18">
        <f t="shared" si="3"/>
        <v>2.31</v>
      </c>
    </row>
    <row r="103" spans="2:8" x14ac:dyDescent="0.25">
      <c r="B103" s="11"/>
      <c r="C103" s="2" t="s">
        <v>67</v>
      </c>
      <c r="D103" s="15">
        <v>1.54</v>
      </c>
      <c r="E103" s="34">
        <v>1.5</v>
      </c>
      <c r="F103" s="15"/>
      <c r="G103" s="2" t="s">
        <v>10</v>
      </c>
      <c r="H103" s="18">
        <f t="shared" si="3"/>
        <v>2.31</v>
      </c>
    </row>
    <row r="104" spans="2:8" x14ac:dyDescent="0.25">
      <c r="B104" s="11" t="s">
        <v>77</v>
      </c>
      <c r="C104" s="2" t="s">
        <v>64</v>
      </c>
      <c r="D104" s="34">
        <f>0.11+0.11</f>
        <v>0.22</v>
      </c>
      <c r="E104" s="34">
        <v>1.5</v>
      </c>
      <c r="F104" s="15"/>
      <c r="G104" s="2" t="s">
        <v>10</v>
      </c>
      <c r="H104" s="18">
        <f t="shared" si="3"/>
        <v>0.33</v>
      </c>
    </row>
    <row r="105" spans="2:8" x14ac:dyDescent="0.25">
      <c r="B105" s="11"/>
      <c r="C105" s="2" t="s">
        <v>65</v>
      </c>
      <c r="D105" s="34">
        <v>0.82</v>
      </c>
      <c r="E105" s="34">
        <v>1.5</v>
      </c>
      <c r="F105" s="15"/>
      <c r="G105" s="2" t="s">
        <v>10</v>
      </c>
      <c r="H105" s="18">
        <f t="shared" si="3"/>
        <v>1.23</v>
      </c>
    </row>
    <row r="106" spans="2:8" x14ac:dyDescent="0.25">
      <c r="B106" s="11"/>
      <c r="C106" s="2" t="s">
        <v>66</v>
      </c>
      <c r="D106" s="34">
        <v>1.39</v>
      </c>
      <c r="E106" s="34">
        <v>1.5</v>
      </c>
      <c r="F106" s="15"/>
      <c r="G106" s="2" t="s">
        <v>10</v>
      </c>
      <c r="H106" s="18">
        <f t="shared" si="3"/>
        <v>2.085</v>
      </c>
    </row>
    <row r="107" spans="2:8" x14ac:dyDescent="0.25">
      <c r="B107" s="11"/>
      <c r="C107" s="2" t="s">
        <v>67</v>
      </c>
      <c r="D107" s="34">
        <v>1.39</v>
      </c>
      <c r="E107" s="34">
        <v>1.5</v>
      </c>
      <c r="F107" s="15"/>
      <c r="G107" s="2" t="s">
        <v>10</v>
      </c>
      <c r="H107" s="18">
        <f t="shared" si="3"/>
        <v>2.085</v>
      </c>
    </row>
    <row r="108" spans="2:8" x14ac:dyDescent="0.25">
      <c r="B108" s="11" t="s">
        <v>78</v>
      </c>
      <c r="C108" s="2" t="s">
        <v>64</v>
      </c>
      <c r="D108" s="34">
        <f>(0.11+0.11)*3</f>
        <v>0.66</v>
      </c>
      <c r="E108" s="34">
        <v>1.5</v>
      </c>
      <c r="F108" s="15"/>
      <c r="G108" s="2" t="s">
        <v>10</v>
      </c>
      <c r="H108" s="18">
        <f t="shared" si="3"/>
        <v>0.99</v>
      </c>
    </row>
    <row r="109" spans="2:8" x14ac:dyDescent="0.25">
      <c r="B109" s="11"/>
      <c r="C109" s="2" t="s">
        <v>65</v>
      </c>
      <c r="D109" s="34">
        <f>0.82*3</f>
        <v>2.46</v>
      </c>
      <c r="E109" s="34">
        <v>1.5</v>
      </c>
      <c r="F109" s="15"/>
      <c r="G109" s="2" t="s">
        <v>10</v>
      </c>
      <c r="H109" s="18">
        <f t="shared" si="3"/>
        <v>3.69</v>
      </c>
    </row>
    <row r="110" spans="2:8" x14ac:dyDescent="0.25">
      <c r="B110" s="11"/>
      <c r="C110" s="2" t="s">
        <v>66</v>
      </c>
      <c r="D110" s="34">
        <f>1.39*3</f>
        <v>4.17</v>
      </c>
      <c r="E110" s="34">
        <v>1.5</v>
      </c>
      <c r="F110" s="15"/>
      <c r="G110" s="2" t="s">
        <v>10</v>
      </c>
      <c r="H110" s="18">
        <f t="shared" si="3"/>
        <v>6.2549999999999999</v>
      </c>
    </row>
    <row r="111" spans="2:8" x14ac:dyDescent="0.25">
      <c r="B111" s="11"/>
      <c r="C111" s="2" t="s">
        <v>67</v>
      </c>
      <c r="D111" s="34">
        <f>1.39*3</f>
        <v>4.17</v>
      </c>
      <c r="E111" s="34">
        <v>1.5</v>
      </c>
      <c r="F111" s="15"/>
      <c r="G111" s="2" t="s">
        <v>10</v>
      </c>
      <c r="H111" s="18">
        <f t="shared" si="3"/>
        <v>6.2549999999999999</v>
      </c>
    </row>
    <row r="112" spans="2:8" x14ac:dyDescent="0.25">
      <c r="B112" s="11" t="s">
        <v>79</v>
      </c>
      <c r="C112" s="2" t="s">
        <v>64</v>
      </c>
      <c r="D112" s="15">
        <v>1.65</v>
      </c>
      <c r="E112" s="34">
        <v>1.5</v>
      </c>
      <c r="F112" s="15"/>
      <c r="G112" s="2" t="s">
        <v>10</v>
      </c>
      <c r="H112" s="18">
        <f t="shared" si="3"/>
        <v>2.4749999999999996</v>
      </c>
    </row>
    <row r="113" spans="2:8" x14ac:dyDescent="0.25">
      <c r="B113" s="1"/>
      <c r="C113" s="2" t="s">
        <v>65</v>
      </c>
      <c r="D113" s="15">
        <v>0.85</v>
      </c>
      <c r="E113" s="34">
        <v>1.5</v>
      </c>
      <c r="F113" s="15"/>
      <c r="G113" s="2" t="s">
        <v>10</v>
      </c>
      <c r="H113" s="18">
        <f t="shared" si="3"/>
        <v>1.2749999999999999</v>
      </c>
    </row>
    <row r="114" spans="2:8" x14ac:dyDescent="0.25">
      <c r="B114" s="11"/>
      <c r="C114" s="2" t="s">
        <v>66</v>
      </c>
      <c r="D114" s="15">
        <v>2.17</v>
      </c>
      <c r="E114" s="34">
        <v>1.5</v>
      </c>
      <c r="F114" s="15"/>
      <c r="G114" s="2" t="s">
        <v>10</v>
      </c>
      <c r="H114" s="18">
        <f t="shared" si="3"/>
        <v>3.2549999999999999</v>
      </c>
    </row>
    <row r="115" spans="2:8" x14ac:dyDescent="0.25">
      <c r="B115" s="11"/>
      <c r="C115" s="2" t="s">
        <v>67</v>
      </c>
      <c r="D115" s="15">
        <v>1.79</v>
      </c>
      <c r="E115" s="34">
        <v>1.5</v>
      </c>
      <c r="F115" s="15"/>
      <c r="G115" s="2" t="s">
        <v>10</v>
      </c>
      <c r="H115" s="18">
        <f t="shared" si="3"/>
        <v>2.6850000000000001</v>
      </c>
    </row>
    <row r="116" spans="2:8" x14ac:dyDescent="0.25">
      <c r="B116" s="11"/>
      <c r="C116" s="2" t="s">
        <v>68</v>
      </c>
      <c r="D116" s="15">
        <f>0.35*4</f>
        <v>1.4</v>
      </c>
      <c r="E116" s="34">
        <v>1.5</v>
      </c>
      <c r="F116" s="15"/>
      <c r="G116" s="2" t="s">
        <v>10</v>
      </c>
      <c r="H116" s="18">
        <f t="shared" si="3"/>
        <v>2.0999999999999996</v>
      </c>
    </row>
    <row r="117" spans="2:8" x14ac:dyDescent="0.25">
      <c r="B117" s="11"/>
      <c r="C117" s="2" t="s">
        <v>81</v>
      </c>
      <c r="D117" s="15">
        <v>1.51</v>
      </c>
      <c r="E117" s="34">
        <v>1.5</v>
      </c>
      <c r="F117" s="15"/>
      <c r="G117" s="2" t="s">
        <v>10</v>
      </c>
      <c r="H117" s="18">
        <f t="shared" si="3"/>
        <v>2.2650000000000001</v>
      </c>
    </row>
    <row r="118" spans="2:8" x14ac:dyDescent="0.25">
      <c r="B118" s="11"/>
      <c r="C118" s="2" t="s">
        <v>82</v>
      </c>
      <c r="D118" s="15">
        <v>1.53</v>
      </c>
      <c r="E118" s="34">
        <v>1.5</v>
      </c>
      <c r="F118" s="15"/>
      <c r="G118" s="2" t="s">
        <v>10</v>
      </c>
      <c r="H118" s="18">
        <f t="shared" si="3"/>
        <v>2.2949999999999999</v>
      </c>
    </row>
    <row r="119" spans="2:8" x14ac:dyDescent="0.25">
      <c r="B119" s="11"/>
      <c r="C119" s="2" t="s">
        <v>83</v>
      </c>
      <c r="D119" s="15">
        <v>2.89</v>
      </c>
      <c r="E119" s="34">
        <v>1.5</v>
      </c>
      <c r="F119" s="15"/>
      <c r="G119" s="2" t="s">
        <v>10</v>
      </c>
      <c r="H119" s="18">
        <f t="shared" si="3"/>
        <v>4.335</v>
      </c>
    </row>
    <row r="120" spans="2:8" x14ac:dyDescent="0.25">
      <c r="B120" s="6" t="s">
        <v>23</v>
      </c>
      <c r="C120" s="7"/>
      <c r="D120" s="19"/>
      <c r="E120" s="19"/>
      <c r="F120" s="19"/>
      <c r="G120" s="7"/>
      <c r="H120" s="20">
        <f>SUM(H67:H119)</f>
        <v>149.26699999999994</v>
      </c>
    </row>
    <row r="122" spans="2:8" x14ac:dyDescent="0.25">
      <c r="B122" s="4"/>
      <c r="C122" s="5" t="s">
        <v>104</v>
      </c>
      <c r="D122" s="21"/>
      <c r="E122" s="21"/>
      <c r="F122" s="21"/>
      <c r="G122" s="5" t="s">
        <v>5</v>
      </c>
      <c r="H122" s="17" t="s">
        <v>6</v>
      </c>
    </row>
    <row r="123" spans="2:8" x14ac:dyDescent="0.25">
      <c r="B123" s="1" t="s">
        <v>88</v>
      </c>
      <c r="C123" s="2" t="s">
        <v>90</v>
      </c>
      <c r="D123" s="15"/>
      <c r="E123" s="15"/>
      <c r="F123" s="15"/>
      <c r="G123" s="2" t="s">
        <v>5</v>
      </c>
      <c r="H123" s="18">
        <v>1</v>
      </c>
    </row>
    <row r="124" spans="2:8" x14ac:dyDescent="0.25">
      <c r="B124" s="1"/>
      <c r="C124" s="2"/>
      <c r="D124" s="15"/>
      <c r="E124" s="15"/>
      <c r="F124" s="15"/>
      <c r="G124" s="2"/>
      <c r="H124" s="18"/>
    </row>
    <row r="125" spans="2:8" x14ac:dyDescent="0.25">
      <c r="B125" s="1" t="s">
        <v>89</v>
      </c>
      <c r="C125" s="2" t="s">
        <v>90</v>
      </c>
      <c r="D125" s="15"/>
      <c r="E125" s="15"/>
      <c r="F125" s="15"/>
      <c r="G125" s="2" t="s">
        <v>5</v>
      </c>
      <c r="H125" s="18">
        <v>1</v>
      </c>
    </row>
    <row r="126" spans="2:8" x14ac:dyDescent="0.25">
      <c r="B126" s="6" t="s">
        <v>23</v>
      </c>
      <c r="C126" s="7"/>
      <c r="D126" s="19"/>
      <c r="E126" s="19"/>
      <c r="F126" s="19"/>
      <c r="G126" s="7"/>
      <c r="H126" s="20">
        <f>SUM(H123:H125)</f>
        <v>2</v>
      </c>
    </row>
    <row r="128" spans="2:8" x14ac:dyDescent="0.25">
      <c r="B128" s="4"/>
      <c r="C128" s="5" t="s">
        <v>35</v>
      </c>
      <c r="D128" s="21"/>
      <c r="E128" s="21"/>
      <c r="F128" s="21"/>
      <c r="G128" s="5" t="s">
        <v>5</v>
      </c>
      <c r="H128" s="17" t="s">
        <v>6</v>
      </c>
    </row>
    <row r="129" spans="2:8" x14ac:dyDescent="0.25">
      <c r="B129" s="1" t="s">
        <v>80</v>
      </c>
      <c r="C129" s="2" t="s">
        <v>36</v>
      </c>
      <c r="D129" s="15"/>
      <c r="E129" s="15"/>
      <c r="F129" s="15"/>
      <c r="G129" s="2" t="s">
        <v>5</v>
      </c>
      <c r="H129" s="18">
        <v>1</v>
      </c>
    </row>
    <row r="130" spans="2:8" x14ac:dyDescent="0.25">
      <c r="B130" s="1"/>
      <c r="C130" s="2"/>
      <c r="D130" s="15"/>
      <c r="E130" s="15"/>
      <c r="F130" s="15"/>
      <c r="G130" s="2"/>
      <c r="H130" s="18"/>
    </row>
    <row r="131" spans="2:8" x14ac:dyDescent="0.25">
      <c r="B131" s="1" t="s">
        <v>74</v>
      </c>
      <c r="C131" s="2" t="s">
        <v>36</v>
      </c>
      <c r="D131" s="15"/>
      <c r="E131" s="15"/>
      <c r="F131" s="15"/>
      <c r="G131" s="2" t="s">
        <v>5</v>
      </c>
      <c r="H131" s="18">
        <v>1</v>
      </c>
    </row>
    <row r="132" spans="2:8" x14ac:dyDescent="0.25">
      <c r="B132" s="6" t="s">
        <v>23</v>
      </c>
      <c r="C132" s="7"/>
      <c r="D132" s="19"/>
      <c r="E132" s="19"/>
      <c r="F132" s="19"/>
      <c r="G132" s="7"/>
      <c r="H132" s="20">
        <f>SUM(H129:H131)</f>
        <v>2</v>
      </c>
    </row>
    <row r="134" spans="2:8" x14ac:dyDescent="0.25">
      <c r="B134" s="4"/>
      <c r="C134" s="5" t="s">
        <v>39</v>
      </c>
      <c r="D134" s="21"/>
      <c r="E134" s="21"/>
      <c r="F134" s="21"/>
      <c r="G134" s="5" t="s">
        <v>5</v>
      </c>
      <c r="H134" s="17" t="s">
        <v>6</v>
      </c>
    </row>
    <row r="135" spans="2:8" x14ac:dyDescent="0.25">
      <c r="B135" s="23" t="s">
        <v>88</v>
      </c>
      <c r="C135" s="2" t="s">
        <v>39</v>
      </c>
      <c r="D135" s="15"/>
      <c r="E135" s="15"/>
      <c r="F135" s="15"/>
      <c r="G135" s="2" t="s">
        <v>5</v>
      </c>
      <c r="H135" s="18">
        <v>4</v>
      </c>
    </row>
    <row r="136" spans="2:8" x14ac:dyDescent="0.25">
      <c r="B136" s="23"/>
      <c r="C136" s="2"/>
      <c r="D136" s="15"/>
      <c r="E136" s="15"/>
      <c r="F136" s="15"/>
      <c r="G136" s="2"/>
      <c r="H136" s="18"/>
    </row>
    <row r="137" spans="2:8" x14ac:dyDescent="0.25">
      <c r="B137" s="23" t="s">
        <v>89</v>
      </c>
      <c r="C137" s="2" t="s">
        <v>39</v>
      </c>
      <c r="D137" s="15"/>
      <c r="E137" s="15"/>
      <c r="F137" s="15"/>
      <c r="G137" s="2" t="s">
        <v>5</v>
      </c>
      <c r="H137" s="18">
        <v>4</v>
      </c>
    </row>
    <row r="138" spans="2:8" x14ac:dyDescent="0.25">
      <c r="B138" s="6" t="s">
        <v>23</v>
      </c>
      <c r="C138" s="7"/>
      <c r="D138" s="19"/>
      <c r="E138" s="19"/>
      <c r="F138" s="19"/>
      <c r="G138" s="7"/>
      <c r="H138" s="20">
        <f>SUM(H135:H137)</f>
        <v>8</v>
      </c>
    </row>
    <row r="140" spans="2:8" x14ac:dyDescent="0.25">
      <c r="B140" s="4"/>
      <c r="C140" s="5" t="s">
        <v>54</v>
      </c>
      <c r="D140" s="16" t="s">
        <v>3</v>
      </c>
      <c r="E140" s="16" t="s">
        <v>4</v>
      </c>
      <c r="F140" s="16" t="s">
        <v>55</v>
      </c>
      <c r="G140" s="5" t="s">
        <v>5</v>
      </c>
      <c r="H140" s="17" t="s">
        <v>6</v>
      </c>
    </row>
    <row r="141" spans="2:8" s="35" customFormat="1" x14ac:dyDescent="0.25">
      <c r="B141" s="11" t="s">
        <v>94</v>
      </c>
      <c r="C141" s="10"/>
      <c r="D141" s="39">
        <v>16.86</v>
      </c>
      <c r="E141" s="39">
        <v>3.23</v>
      </c>
      <c r="F141" s="39">
        <f>2.1*2</f>
        <v>4.2</v>
      </c>
      <c r="G141" s="36" t="s">
        <v>10</v>
      </c>
      <c r="H141" s="18">
        <f>D141*E141-F141</f>
        <v>50.257799999999996</v>
      </c>
    </row>
    <row r="142" spans="2:8" x14ac:dyDescent="0.25">
      <c r="B142" s="11" t="s">
        <v>80</v>
      </c>
      <c r="C142" s="2" t="s">
        <v>64</v>
      </c>
      <c r="D142" s="15">
        <v>3.8</v>
      </c>
      <c r="E142" s="15">
        <v>1.73</v>
      </c>
      <c r="F142" s="15"/>
      <c r="G142" s="2" t="s">
        <v>10</v>
      </c>
      <c r="H142" s="18">
        <f>D142*E142-F142</f>
        <v>6.5739999999999998</v>
      </c>
    </row>
    <row r="143" spans="2:8" x14ac:dyDescent="0.25">
      <c r="B143" s="11"/>
      <c r="C143" s="2" t="s">
        <v>65</v>
      </c>
      <c r="D143" s="15">
        <v>0.73</v>
      </c>
      <c r="E143" s="15">
        <v>1</v>
      </c>
      <c r="F143" s="15"/>
      <c r="G143" s="2" t="s">
        <v>10</v>
      </c>
      <c r="H143" s="18">
        <f t="shared" ref="H143:H165" si="4">D143*E143-F143</f>
        <v>0.73</v>
      </c>
    </row>
    <row r="144" spans="2:8" x14ac:dyDescent="0.25">
      <c r="B144" s="11"/>
      <c r="C144" s="2" t="s">
        <v>66</v>
      </c>
      <c r="D144" s="15">
        <v>2.02</v>
      </c>
      <c r="E144" s="15">
        <v>1</v>
      </c>
      <c r="F144" s="15"/>
      <c r="G144" s="2" t="s">
        <v>10</v>
      </c>
      <c r="H144" s="18">
        <f t="shared" si="4"/>
        <v>2.02</v>
      </c>
    </row>
    <row r="145" spans="2:8" x14ac:dyDescent="0.25">
      <c r="B145" s="11"/>
      <c r="C145" s="2" t="s">
        <v>67</v>
      </c>
      <c r="D145" s="15">
        <v>2.85</v>
      </c>
      <c r="E145" s="15">
        <v>1.73</v>
      </c>
      <c r="F145" s="15"/>
      <c r="G145" s="2" t="s">
        <v>10</v>
      </c>
      <c r="H145" s="18">
        <f t="shared" si="4"/>
        <v>4.9305000000000003</v>
      </c>
    </row>
    <row r="146" spans="2:8" x14ac:dyDescent="0.25">
      <c r="B146" s="11"/>
      <c r="C146" s="2" t="s">
        <v>68</v>
      </c>
      <c r="D146" s="15">
        <v>1.8</v>
      </c>
      <c r="E146" s="15">
        <v>1.73</v>
      </c>
      <c r="F146" s="15"/>
      <c r="G146" s="2" t="s">
        <v>10</v>
      </c>
      <c r="H146" s="18">
        <f t="shared" si="4"/>
        <v>3.1139999999999999</v>
      </c>
    </row>
    <row r="147" spans="2:8" x14ac:dyDescent="0.25">
      <c r="B147" s="11" t="s">
        <v>72</v>
      </c>
      <c r="C147" s="2" t="s">
        <v>64</v>
      </c>
      <c r="D147" s="34">
        <v>2.23</v>
      </c>
      <c r="E147" s="34">
        <v>1</v>
      </c>
      <c r="F147" s="15"/>
      <c r="G147" s="2" t="s">
        <v>10</v>
      </c>
      <c r="H147" s="18">
        <f t="shared" si="4"/>
        <v>2.23</v>
      </c>
    </row>
    <row r="148" spans="2:8" x14ac:dyDescent="0.25">
      <c r="B148" s="11"/>
      <c r="C148" s="2" t="s">
        <v>65</v>
      </c>
      <c r="D148" s="34">
        <v>2.98</v>
      </c>
      <c r="E148" s="34">
        <v>1.73</v>
      </c>
      <c r="F148" s="15"/>
      <c r="G148" s="2" t="s">
        <v>10</v>
      </c>
      <c r="H148" s="18">
        <f t="shared" si="4"/>
        <v>5.1554000000000002</v>
      </c>
    </row>
    <row r="149" spans="2:8" x14ac:dyDescent="0.25">
      <c r="B149" s="11"/>
      <c r="C149" s="2" t="s">
        <v>66</v>
      </c>
      <c r="D149" s="34">
        <v>1.39</v>
      </c>
      <c r="E149" s="34">
        <v>1.73</v>
      </c>
      <c r="F149" s="15"/>
      <c r="G149" s="2" t="s">
        <v>10</v>
      </c>
      <c r="H149" s="18">
        <f t="shared" si="4"/>
        <v>2.4046999999999996</v>
      </c>
    </row>
    <row r="150" spans="2:8" x14ac:dyDescent="0.25">
      <c r="B150" s="11"/>
      <c r="C150" s="2" t="s">
        <v>67</v>
      </c>
      <c r="D150" s="34">
        <v>1.39</v>
      </c>
      <c r="E150" s="34">
        <v>1</v>
      </c>
      <c r="F150" s="15"/>
      <c r="G150" s="2" t="s">
        <v>10</v>
      </c>
      <c r="H150" s="18">
        <f t="shared" si="4"/>
        <v>1.39</v>
      </c>
    </row>
    <row r="151" spans="2:8" x14ac:dyDescent="0.25">
      <c r="B151" s="11" t="s">
        <v>71</v>
      </c>
      <c r="C151" s="2" t="s">
        <v>64</v>
      </c>
      <c r="D151" s="34">
        <v>1.73</v>
      </c>
      <c r="E151" s="34">
        <v>1.73</v>
      </c>
      <c r="F151" s="15"/>
      <c r="G151" s="2" t="s">
        <v>10</v>
      </c>
      <c r="H151" s="18">
        <f t="shared" si="4"/>
        <v>2.9929000000000001</v>
      </c>
    </row>
    <row r="152" spans="2:8" x14ac:dyDescent="0.25">
      <c r="B152" s="11"/>
      <c r="C152" s="2" t="s">
        <v>65</v>
      </c>
      <c r="D152" s="34">
        <v>1.73</v>
      </c>
      <c r="E152" s="34">
        <v>1.73</v>
      </c>
      <c r="F152" s="15"/>
      <c r="G152" s="2" t="s">
        <v>10</v>
      </c>
      <c r="H152" s="18">
        <f t="shared" si="4"/>
        <v>2.9929000000000001</v>
      </c>
    </row>
    <row r="153" spans="2:8" x14ac:dyDescent="0.25">
      <c r="B153" s="11"/>
      <c r="C153" s="2" t="s">
        <v>66</v>
      </c>
      <c r="D153" s="34">
        <v>0.78</v>
      </c>
      <c r="E153" s="34">
        <v>1</v>
      </c>
      <c r="F153" s="15"/>
      <c r="G153" s="2" t="s">
        <v>10</v>
      </c>
      <c r="H153" s="18">
        <f t="shared" si="4"/>
        <v>0.78</v>
      </c>
    </row>
    <row r="154" spans="2:8" x14ac:dyDescent="0.25">
      <c r="B154" s="11"/>
      <c r="C154" s="2" t="s">
        <v>67</v>
      </c>
      <c r="D154" s="34">
        <v>1.38</v>
      </c>
      <c r="E154" s="34">
        <v>1.73</v>
      </c>
      <c r="F154" s="15"/>
      <c r="G154" s="2" t="s">
        <v>10</v>
      </c>
      <c r="H154" s="18">
        <f t="shared" si="4"/>
        <v>2.3874</v>
      </c>
    </row>
    <row r="155" spans="2:8" x14ac:dyDescent="0.25">
      <c r="B155" s="11" t="s">
        <v>69</v>
      </c>
      <c r="C155" s="2" t="s">
        <v>64</v>
      </c>
      <c r="D155" s="15">
        <v>2.0099999999999998</v>
      </c>
      <c r="E155" s="34">
        <v>1.73</v>
      </c>
      <c r="F155" s="15"/>
      <c r="G155" s="2" t="s">
        <v>10</v>
      </c>
      <c r="H155" s="18">
        <f t="shared" si="4"/>
        <v>3.4772999999999996</v>
      </c>
    </row>
    <row r="156" spans="2:8" x14ac:dyDescent="0.25">
      <c r="B156" s="11"/>
      <c r="C156" s="2" t="s">
        <v>65</v>
      </c>
      <c r="D156" s="15">
        <v>2.0099999999999998</v>
      </c>
      <c r="E156" s="34">
        <v>1.73</v>
      </c>
      <c r="F156" s="15"/>
      <c r="G156" s="2" t="s">
        <v>10</v>
      </c>
      <c r="H156" s="18">
        <f t="shared" si="4"/>
        <v>3.4772999999999996</v>
      </c>
    </row>
    <row r="157" spans="2:8" x14ac:dyDescent="0.25">
      <c r="B157" s="11"/>
      <c r="C157" s="2" t="s">
        <v>66</v>
      </c>
      <c r="D157" s="15">
        <v>1.78</v>
      </c>
      <c r="E157" s="34">
        <v>1.73</v>
      </c>
      <c r="F157" s="15"/>
      <c r="G157" s="2" t="s">
        <v>10</v>
      </c>
      <c r="H157" s="18">
        <f t="shared" si="4"/>
        <v>3.0794000000000001</v>
      </c>
    </row>
    <row r="158" spans="2:8" x14ac:dyDescent="0.25">
      <c r="B158" s="11"/>
      <c r="C158" s="2" t="s">
        <v>67</v>
      </c>
      <c r="D158" s="15">
        <v>2.67</v>
      </c>
      <c r="E158" s="34">
        <v>1</v>
      </c>
      <c r="F158" s="15"/>
      <c r="G158" s="2" t="s">
        <v>10</v>
      </c>
      <c r="H158" s="18">
        <f t="shared" si="4"/>
        <v>2.67</v>
      </c>
    </row>
    <row r="159" spans="2:8" x14ac:dyDescent="0.25">
      <c r="B159" s="11" t="s">
        <v>73</v>
      </c>
      <c r="C159" s="2" t="s">
        <v>64</v>
      </c>
      <c r="D159" s="34">
        <f>2.02*3</f>
        <v>6.0600000000000005</v>
      </c>
      <c r="E159" s="34">
        <v>1</v>
      </c>
      <c r="F159" s="15"/>
      <c r="G159" s="2" t="s">
        <v>10</v>
      </c>
      <c r="H159" s="18">
        <f t="shared" si="4"/>
        <v>6.0600000000000005</v>
      </c>
    </row>
    <row r="160" spans="2:8" x14ac:dyDescent="0.25">
      <c r="B160" s="11"/>
      <c r="C160" s="2" t="s">
        <v>65</v>
      </c>
      <c r="D160" s="34">
        <f>2.02*3</f>
        <v>6.0600000000000005</v>
      </c>
      <c r="E160" s="34">
        <v>1</v>
      </c>
      <c r="F160" s="15"/>
      <c r="G160" s="2" t="s">
        <v>10</v>
      </c>
      <c r="H160" s="18">
        <f t="shared" si="4"/>
        <v>6.0600000000000005</v>
      </c>
    </row>
    <row r="161" spans="2:8" x14ac:dyDescent="0.25">
      <c r="B161" s="11"/>
      <c r="C161" s="2" t="s">
        <v>66</v>
      </c>
      <c r="D161" s="34">
        <f>0.85*3</f>
        <v>2.5499999999999998</v>
      </c>
      <c r="E161" s="34">
        <v>1.73</v>
      </c>
      <c r="F161" s="15"/>
      <c r="G161" s="2" t="s">
        <v>10</v>
      </c>
      <c r="H161" s="18">
        <f t="shared" si="4"/>
        <v>4.4114999999999993</v>
      </c>
    </row>
    <row r="162" spans="2:8" x14ac:dyDescent="0.25">
      <c r="B162" s="11"/>
      <c r="C162" s="2" t="s">
        <v>67</v>
      </c>
      <c r="D162" s="34">
        <f>0.25*3</f>
        <v>0.75</v>
      </c>
      <c r="E162" s="34">
        <v>1</v>
      </c>
      <c r="F162" s="15"/>
      <c r="G162" s="2" t="s">
        <v>10</v>
      </c>
      <c r="H162" s="18">
        <f t="shared" si="4"/>
        <v>0.75</v>
      </c>
    </row>
    <row r="163" spans="2:8" x14ac:dyDescent="0.25">
      <c r="B163" s="11" t="s">
        <v>70</v>
      </c>
      <c r="C163" s="2" t="s">
        <v>64</v>
      </c>
      <c r="D163" s="15">
        <f>0.21+0.13</f>
        <v>0.33999999999999997</v>
      </c>
      <c r="E163" s="34">
        <v>1</v>
      </c>
      <c r="F163" s="15"/>
      <c r="G163" s="2" t="s">
        <v>10</v>
      </c>
      <c r="H163" s="18">
        <f t="shared" si="4"/>
        <v>0.33999999999999997</v>
      </c>
    </row>
    <row r="164" spans="2:8" x14ac:dyDescent="0.25">
      <c r="B164" s="1"/>
      <c r="C164" s="2" t="s">
        <v>65</v>
      </c>
      <c r="D164" s="15">
        <f>0.15+0.4+0.4+0.25</f>
        <v>1.2000000000000002</v>
      </c>
      <c r="E164" s="34">
        <v>1</v>
      </c>
      <c r="F164" s="15"/>
      <c r="G164" s="2" t="s">
        <v>10</v>
      </c>
      <c r="H164" s="18">
        <f t="shared" si="4"/>
        <v>1.2000000000000002</v>
      </c>
    </row>
    <row r="165" spans="2:8" x14ac:dyDescent="0.25">
      <c r="B165" s="11"/>
      <c r="C165" s="2" t="s">
        <v>66</v>
      </c>
      <c r="D165" s="15">
        <f>2.45+0.15</f>
        <v>2.6</v>
      </c>
      <c r="E165" s="34">
        <v>1.73</v>
      </c>
      <c r="F165" s="15"/>
      <c r="G165" s="2" t="s">
        <v>10</v>
      </c>
      <c r="H165" s="18">
        <f t="shared" si="4"/>
        <v>4.4980000000000002</v>
      </c>
    </row>
    <row r="166" spans="2:8" x14ac:dyDescent="0.25">
      <c r="B166" s="11"/>
      <c r="C166" s="2"/>
      <c r="D166" s="15"/>
      <c r="E166" s="15"/>
      <c r="F166" s="15"/>
      <c r="G166" s="2"/>
      <c r="H166" s="18"/>
    </row>
    <row r="167" spans="2:8" x14ac:dyDescent="0.25">
      <c r="B167" s="11" t="s">
        <v>74</v>
      </c>
      <c r="C167" s="2" t="s">
        <v>64</v>
      </c>
      <c r="D167" s="15">
        <v>2.7</v>
      </c>
      <c r="E167" s="15">
        <v>1.73</v>
      </c>
      <c r="F167" s="15"/>
      <c r="G167" s="2" t="s">
        <v>10</v>
      </c>
      <c r="H167" s="18">
        <f t="shared" ref="H167:H195" si="5">D167*E167-F167</f>
        <v>4.6710000000000003</v>
      </c>
    </row>
    <row r="168" spans="2:8" x14ac:dyDescent="0.25">
      <c r="B168" s="11"/>
      <c r="C168" s="2" t="s">
        <v>65</v>
      </c>
      <c r="D168" s="15">
        <v>1.65</v>
      </c>
      <c r="E168" s="15">
        <v>1</v>
      </c>
      <c r="F168" s="15"/>
      <c r="G168" s="2" t="s">
        <v>10</v>
      </c>
      <c r="H168" s="18">
        <f t="shared" si="5"/>
        <v>1.65</v>
      </c>
    </row>
    <row r="169" spans="2:8" x14ac:dyDescent="0.25">
      <c r="B169" s="11"/>
      <c r="C169" s="2" t="s">
        <v>66</v>
      </c>
      <c r="D169" s="15">
        <v>2.66</v>
      </c>
      <c r="E169" s="15">
        <v>1.73</v>
      </c>
      <c r="F169" s="15"/>
      <c r="G169" s="2" t="s">
        <v>10</v>
      </c>
      <c r="H169" s="18">
        <f t="shared" si="5"/>
        <v>4.6017999999999999</v>
      </c>
    </row>
    <row r="170" spans="2:8" x14ac:dyDescent="0.25">
      <c r="B170" s="11"/>
      <c r="C170" s="2" t="s">
        <v>67</v>
      </c>
      <c r="D170" s="15">
        <v>2.66</v>
      </c>
      <c r="E170" s="15">
        <v>2.73</v>
      </c>
      <c r="F170" s="15"/>
      <c r="G170" s="2" t="s">
        <v>10</v>
      </c>
      <c r="H170" s="18">
        <f t="shared" si="5"/>
        <v>7.2618</v>
      </c>
    </row>
    <row r="171" spans="2:8" x14ac:dyDescent="0.25">
      <c r="B171" s="11" t="s">
        <v>75</v>
      </c>
      <c r="C171" s="2" t="s">
        <v>64</v>
      </c>
      <c r="D171" s="34">
        <v>0.89</v>
      </c>
      <c r="E171" s="34">
        <v>1.73</v>
      </c>
      <c r="F171" s="15"/>
      <c r="G171" s="2" t="s">
        <v>10</v>
      </c>
      <c r="H171" s="18">
        <f t="shared" si="5"/>
        <v>1.5397000000000001</v>
      </c>
    </row>
    <row r="172" spans="2:8" x14ac:dyDescent="0.25">
      <c r="B172" s="11"/>
      <c r="C172" s="2" t="s">
        <v>65</v>
      </c>
      <c r="D172" s="34">
        <v>0.28999999999999998</v>
      </c>
      <c r="E172" s="34">
        <v>1</v>
      </c>
      <c r="F172" s="15"/>
      <c r="G172" s="2" t="s">
        <v>10</v>
      </c>
      <c r="H172" s="18">
        <f t="shared" si="5"/>
        <v>0.28999999999999998</v>
      </c>
    </row>
    <row r="173" spans="2:8" x14ac:dyDescent="0.25">
      <c r="B173" s="11"/>
      <c r="C173" s="2" t="s">
        <v>66</v>
      </c>
      <c r="D173" s="34">
        <v>1.38</v>
      </c>
      <c r="E173" s="34">
        <v>1.73</v>
      </c>
      <c r="F173" s="15"/>
      <c r="G173" s="2" t="s">
        <v>10</v>
      </c>
      <c r="H173" s="18">
        <f t="shared" si="5"/>
        <v>2.3874</v>
      </c>
    </row>
    <row r="174" spans="2:8" x14ac:dyDescent="0.25">
      <c r="B174" s="11"/>
      <c r="C174" s="2" t="s">
        <v>67</v>
      </c>
      <c r="D174" s="34">
        <v>1.38</v>
      </c>
      <c r="E174" s="34">
        <v>1</v>
      </c>
      <c r="F174" s="15"/>
      <c r="G174" s="2" t="s">
        <v>10</v>
      </c>
      <c r="H174" s="18">
        <f t="shared" si="5"/>
        <v>1.38</v>
      </c>
    </row>
    <row r="175" spans="2:8" x14ac:dyDescent="0.25">
      <c r="B175" s="11" t="s">
        <v>76</v>
      </c>
      <c r="C175" s="2" t="s">
        <v>64</v>
      </c>
      <c r="D175" s="15">
        <v>1.64</v>
      </c>
      <c r="E175" s="34">
        <v>1</v>
      </c>
      <c r="F175" s="15"/>
      <c r="G175" s="2" t="s">
        <v>10</v>
      </c>
      <c r="H175" s="18">
        <f t="shared" si="5"/>
        <v>1.64</v>
      </c>
    </row>
    <row r="176" spans="2:8" x14ac:dyDescent="0.25">
      <c r="B176" s="11"/>
      <c r="C176" s="2" t="s">
        <v>65</v>
      </c>
      <c r="D176" s="15">
        <v>2.54</v>
      </c>
      <c r="E176" s="34">
        <v>1.73</v>
      </c>
      <c r="F176" s="15"/>
      <c r="G176" s="2" t="s">
        <v>10</v>
      </c>
      <c r="H176" s="18">
        <f t="shared" si="5"/>
        <v>4.3941999999999997</v>
      </c>
    </row>
    <row r="177" spans="2:8" x14ac:dyDescent="0.25">
      <c r="B177" s="11"/>
      <c r="C177" s="2" t="s">
        <v>66</v>
      </c>
      <c r="D177" s="15">
        <v>1.54</v>
      </c>
      <c r="E177" s="34">
        <v>1</v>
      </c>
      <c r="F177" s="15"/>
      <c r="G177" s="2" t="s">
        <v>10</v>
      </c>
      <c r="H177" s="18">
        <f t="shared" si="5"/>
        <v>1.54</v>
      </c>
    </row>
    <row r="178" spans="2:8" x14ac:dyDescent="0.25">
      <c r="B178" s="11"/>
      <c r="C178" s="2" t="s">
        <v>67</v>
      </c>
      <c r="D178" s="15">
        <v>1.54</v>
      </c>
      <c r="E178" s="34">
        <v>1.73</v>
      </c>
      <c r="F178" s="15"/>
      <c r="G178" s="2" t="s">
        <v>10</v>
      </c>
      <c r="H178" s="18">
        <f t="shared" si="5"/>
        <v>2.6642000000000001</v>
      </c>
    </row>
    <row r="179" spans="2:8" x14ac:dyDescent="0.25">
      <c r="B179" s="11" t="s">
        <v>77</v>
      </c>
      <c r="C179" s="2" t="s">
        <v>64</v>
      </c>
      <c r="D179" s="34">
        <f>0.11+0.11</f>
        <v>0.22</v>
      </c>
      <c r="E179" s="34">
        <v>1</v>
      </c>
      <c r="F179" s="15"/>
      <c r="G179" s="2" t="s">
        <v>10</v>
      </c>
      <c r="H179" s="18">
        <f t="shared" si="5"/>
        <v>0.22</v>
      </c>
    </row>
    <row r="180" spans="2:8" x14ac:dyDescent="0.25">
      <c r="B180" s="11"/>
      <c r="C180" s="2" t="s">
        <v>65</v>
      </c>
      <c r="D180" s="34">
        <v>0.82</v>
      </c>
      <c r="E180" s="34">
        <v>1.73</v>
      </c>
      <c r="F180" s="15"/>
      <c r="G180" s="2" t="s">
        <v>10</v>
      </c>
      <c r="H180" s="18">
        <f t="shared" si="5"/>
        <v>1.4185999999999999</v>
      </c>
    </row>
    <row r="181" spans="2:8" x14ac:dyDescent="0.25">
      <c r="B181" s="11"/>
      <c r="C181" s="2" t="s">
        <v>66</v>
      </c>
      <c r="D181" s="34">
        <v>1.39</v>
      </c>
      <c r="E181" s="34">
        <v>1</v>
      </c>
      <c r="F181" s="15"/>
      <c r="G181" s="2" t="s">
        <v>10</v>
      </c>
      <c r="H181" s="18">
        <f t="shared" si="5"/>
        <v>1.39</v>
      </c>
    </row>
    <row r="182" spans="2:8" x14ac:dyDescent="0.25">
      <c r="B182" s="11"/>
      <c r="C182" s="2" t="s">
        <v>67</v>
      </c>
      <c r="D182" s="34">
        <v>1.39</v>
      </c>
      <c r="E182" s="34">
        <v>1</v>
      </c>
      <c r="F182" s="15"/>
      <c r="G182" s="2" t="s">
        <v>10</v>
      </c>
      <c r="H182" s="18">
        <f t="shared" si="5"/>
        <v>1.39</v>
      </c>
    </row>
    <row r="183" spans="2:8" x14ac:dyDescent="0.25">
      <c r="B183" s="11" t="s">
        <v>78</v>
      </c>
      <c r="C183" s="2" t="s">
        <v>64</v>
      </c>
      <c r="D183" s="34">
        <f>(0.11+0.11)*3</f>
        <v>0.66</v>
      </c>
      <c r="E183" s="34">
        <v>1</v>
      </c>
      <c r="F183" s="15"/>
      <c r="G183" s="2" t="s">
        <v>10</v>
      </c>
      <c r="H183" s="18">
        <f t="shared" si="5"/>
        <v>0.66</v>
      </c>
    </row>
    <row r="184" spans="2:8" x14ac:dyDescent="0.25">
      <c r="B184" s="11"/>
      <c r="C184" s="2" t="s">
        <v>65</v>
      </c>
      <c r="D184" s="34">
        <f>0.82*3</f>
        <v>2.46</v>
      </c>
      <c r="E184" s="34">
        <v>1.73</v>
      </c>
      <c r="F184" s="15"/>
      <c r="G184" s="2" t="s">
        <v>10</v>
      </c>
      <c r="H184" s="18">
        <f t="shared" si="5"/>
        <v>4.2557999999999998</v>
      </c>
    </row>
    <row r="185" spans="2:8" x14ac:dyDescent="0.25">
      <c r="B185" s="11"/>
      <c r="C185" s="2" t="s">
        <v>66</v>
      </c>
      <c r="D185" s="34">
        <f>1.39*3</f>
        <v>4.17</v>
      </c>
      <c r="E185" s="34">
        <v>1</v>
      </c>
      <c r="F185" s="15"/>
      <c r="G185" s="2" t="s">
        <v>10</v>
      </c>
      <c r="H185" s="18">
        <f t="shared" si="5"/>
        <v>4.17</v>
      </c>
    </row>
    <row r="186" spans="2:8" x14ac:dyDescent="0.25">
      <c r="B186" s="11"/>
      <c r="C186" s="2" t="s">
        <v>67</v>
      </c>
      <c r="D186" s="34">
        <f>1.39*3</f>
        <v>4.17</v>
      </c>
      <c r="E186" s="34">
        <v>1</v>
      </c>
      <c r="F186" s="15"/>
      <c r="G186" s="2" t="s">
        <v>10</v>
      </c>
      <c r="H186" s="18">
        <f t="shared" si="5"/>
        <v>4.17</v>
      </c>
    </row>
    <row r="187" spans="2:8" x14ac:dyDescent="0.25">
      <c r="B187" s="11" t="s">
        <v>79</v>
      </c>
      <c r="C187" s="2" t="s">
        <v>64</v>
      </c>
      <c r="D187" s="15">
        <v>1.65</v>
      </c>
      <c r="E187" s="34">
        <v>1</v>
      </c>
      <c r="F187" s="15"/>
      <c r="G187" s="2" t="s">
        <v>10</v>
      </c>
      <c r="H187" s="18">
        <f t="shared" si="5"/>
        <v>1.65</v>
      </c>
    </row>
    <row r="188" spans="2:8" x14ac:dyDescent="0.25">
      <c r="B188" s="1"/>
      <c r="C188" s="2" t="s">
        <v>65</v>
      </c>
      <c r="D188" s="15">
        <v>0.85</v>
      </c>
      <c r="E188" s="34">
        <v>1.73</v>
      </c>
      <c r="F188" s="15"/>
      <c r="G188" s="2" t="s">
        <v>10</v>
      </c>
      <c r="H188" s="18">
        <f t="shared" si="5"/>
        <v>1.4704999999999999</v>
      </c>
    </row>
    <row r="189" spans="2:8" x14ac:dyDescent="0.25">
      <c r="B189" s="11"/>
      <c r="C189" s="2" t="s">
        <v>66</v>
      </c>
      <c r="D189" s="15">
        <v>2.17</v>
      </c>
      <c r="E189" s="34">
        <v>1</v>
      </c>
      <c r="F189" s="15"/>
      <c r="G189" s="2" t="s">
        <v>10</v>
      </c>
      <c r="H189" s="18">
        <f t="shared" si="5"/>
        <v>2.17</v>
      </c>
    </row>
    <row r="190" spans="2:8" x14ac:dyDescent="0.25">
      <c r="B190" s="11"/>
      <c r="C190" s="2" t="s">
        <v>67</v>
      </c>
      <c r="D190" s="15">
        <v>1.79</v>
      </c>
      <c r="E190" s="34">
        <v>1</v>
      </c>
      <c r="F190" s="15"/>
      <c r="G190" s="2" t="s">
        <v>10</v>
      </c>
      <c r="H190" s="18">
        <f t="shared" si="5"/>
        <v>1.79</v>
      </c>
    </row>
    <row r="191" spans="2:8" x14ac:dyDescent="0.25">
      <c r="B191" s="11"/>
      <c r="C191" s="2" t="s">
        <v>68</v>
      </c>
      <c r="D191" s="15">
        <f>0.35*4</f>
        <v>1.4</v>
      </c>
      <c r="E191" s="34">
        <v>1</v>
      </c>
      <c r="F191" s="15"/>
      <c r="G191" s="2" t="s">
        <v>10</v>
      </c>
      <c r="H191" s="18">
        <f t="shared" si="5"/>
        <v>1.4</v>
      </c>
    </row>
    <row r="192" spans="2:8" x14ac:dyDescent="0.25">
      <c r="B192" s="11"/>
      <c r="C192" s="2" t="s">
        <v>81</v>
      </c>
      <c r="D192" s="15">
        <v>1.51</v>
      </c>
      <c r="E192" s="34">
        <v>1.73</v>
      </c>
      <c r="F192" s="15"/>
      <c r="G192" s="2" t="s">
        <v>10</v>
      </c>
      <c r="H192" s="18">
        <f t="shared" si="5"/>
        <v>2.6122999999999998</v>
      </c>
    </row>
    <row r="193" spans="2:8" x14ac:dyDescent="0.25">
      <c r="B193" s="11"/>
      <c r="C193" s="2" t="s">
        <v>82</v>
      </c>
      <c r="D193" s="15">
        <v>1.53</v>
      </c>
      <c r="E193" s="34">
        <v>1</v>
      </c>
      <c r="F193" s="15"/>
      <c r="G193" s="2" t="s">
        <v>10</v>
      </c>
      <c r="H193" s="18">
        <f t="shared" si="5"/>
        <v>1.53</v>
      </c>
    </row>
    <row r="194" spans="2:8" x14ac:dyDescent="0.25">
      <c r="B194" s="11"/>
      <c r="C194" s="2" t="s">
        <v>83</v>
      </c>
      <c r="D194" s="15">
        <v>2.89</v>
      </c>
      <c r="E194" s="34">
        <v>1.73</v>
      </c>
      <c r="F194" s="15"/>
      <c r="G194" s="2" t="s">
        <v>10</v>
      </c>
      <c r="H194" s="18">
        <f t="shared" si="5"/>
        <v>4.9996999999999998</v>
      </c>
    </row>
    <row r="195" spans="2:8" x14ac:dyDescent="0.25">
      <c r="B195" s="11"/>
      <c r="C195" s="2"/>
      <c r="D195" s="15"/>
      <c r="E195" s="15"/>
      <c r="F195" s="15"/>
      <c r="G195" s="2"/>
      <c r="H195" s="18">
        <f t="shared" si="5"/>
        <v>0</v>
      </c>
    </row>
    <row r="196" spans="2:8" x14ac:dyDescent="0.25">
      <c r="B196" s="6" t="s">
        <v>23</v>
      </c>
      <c r="C196" s="7"/>
      <c r="D196" s="19"/>
      <c r="E196" s="19"/>
      <c r="F196" s="19"/>
      <c r="G196" s="7"/>
      <c r="H196" s="20">
        <f>SUM(H141:H195)</f>
        <v>193.30009999999996</v>
      </c>
    </row>
    <row r="198" spans="2:8" x14ac:dyDescent="0.25">
      <c r="B198" s="4"/>
      <c r="C198" s="5" t="s">
        <v>86</v>
      </c>
      <c r="D198" s="16" t="s">
        <v>87</v>
      </c>
      <c r="E198" s="21"/>
      <c r="F198" s="21"/>
      <c r="G198" s="5" t="s">
        <v>5</v>
      </c>
      <c r="H198" s="17" t="s">
        <v>6</v>
      </c>
    </row>
    <row r="199" spans="2:8" x14ac:dyDescent="0.25">
      <c r="B199" s="11" t="s">
        <v>88</v>
      </c>
      <c r="C199" s="2"/>
      <c r="D199" s="15">
        <v>32.67</v>
      </c>
      <c r="E199" s="15"/>
      <c r="F199" s="15"/>
      <c r="G199" s="2" t="s">
        <v>10</v>
      </c>
      <c r="H199" s="18">
        <f t="shared" ref="H199:H201" si="6">D199</f>
        <v>32.67</v>
      </c>
    </row>
    <row r="200" spans="2:8" x14ac:dyDescent="0.25">
      <c r="B200" s="11"/>
      <c r="C200" s="2"/>
      <c r="D200" s="15"/>
      <c r="E200" s="15"/>
      <c r="F200" s="15"/>
      <c r="G200" s="2"/>
      <c r="H200" s="18"/>
    </row>
    <row r="201" spans="2:8" x14ac:dyDescent="0.25">
      <c r="B201" s="1" t="s">
        <v>89</v>
      </c>
      <c r="C201" s="2"/>
      <c r="D201" s="15">
        <v>32.57</v>
      </c>
      <c r="E201" s="15"/>
      <c r="F201" s="15"/>
      <c r="G201" s="2" t="s">
        <v>10</v>
      </c>
      <c r="H201" s="18">
        <f t="shared" si="6"/>
        <v>32.57</v>
      </c>
    </row>
    <row r="202" spans="2:8" x14ac:dyDescent="0.25">
      <c r="B202" s="6" t="s">
        <v>23</v>
      </c>
      <c r="C202" s="7"/>
      <c r="D202" s="19"/>
      <c r="E202" s="19"/>
      <c r="F202" s="19"/>
      <c r="G202" s="7"/>
      <c r="H202" s="20">
        <f>SUM(H199:H201)</f>
        <v>65.240000000000009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7"/>
  <sheetViews>
    <sheetView topLeftCell="A34" workbookViewId="0">
      <selection activeCell="I185" sqref="I185"/>
    </sheetView>
  </sheetViews>
  <sheetFormatPr defaultRowHeight="15" x14ac:dyDescent="0.25"/>
  <cols>
    <col min="1" max="1" width="3" customWidth="1"/>
    <col min="2" max="2" width="13.5703125" bestFit="1" customWidth="1"/>
    <col min="3" max="3" width="33" bestFit="1" customWidth="1"/>
    <col min="4" max="4" width="7.42578125" style="13" bestFit="1" customWidth="1"/>
    <col min="5" max="5" width="6.7109375" style="13" bestFit="1" customWidth="1"/>
    <col min="6" max="6" width="8.140625" style="13" bestFit="1" customWidth="1"/>
    <col min="7" max="7" width="4.42578125" bestFit="1" customWidth="1"/>
    <col min="8" max="8" width="9.5703125" style="13" bestFit="1" customWidth="1"/>
  </cols>
  <sheetData>
    <row r="1" spans="2:8" x14ac:dyDescent="0.25">
      <c r="B1" s="40" t="s">
        <v>98</v>
      </c>
    </row>
    <row r="3" spans="2:8" x14ac:dyDescent="0.25">
      <c r="B3" t="s">
        <v>2</v>
      </c>
      <c r="C3" t="s">
        <v>1</v>
      </c>
    </row>
    <row r="4" spans="2:8" x14ac:dyDescent="0.25">
      <c r="B4" s="4"/>
      <c r="C4" s="5" t="s">
        <v>0</v>
      </c>
      <c r="D4" s="16" t="s">
        <v>3</v>
      </c>
      <c r="E4" s="16" t="s">
        <v>4</v>
      </c>
      <c r="F4" s="16"/>
      <c r="G4" s="5" t="s">
        <v>5</v>
      </c>
      <c r="H4" s="17" t="s">
        <v>6</v>
      </c>
    </row>
    <row r="5" spans="2:8" x14ac:dyDescent="0.25">
      <c r="B5" s="1" t="s">
        <v>46</v>
      </c>
      <c r="C5" s="2" t="s">
        <v>7</v>
      </c>
      <c r="D5" s="15">
        <v>1.63</v>
      </c>
      <c r="E5" s="15">
        <v>2.2000000000000002</v>
      </c>
      <c r="F5" s="15"/>
      <c r="G5" s="2" t="s">
        <v>10</v>
      </c>
      <c r="H5" s="18">
        <f>D5*E5</f>
        <v>3.5859999999999999</v>
      </c>
    </row>
    <row r="6" spans="2:8" x14ac:dyDescent="0.25">
      <c r="B6" s="1" t="s">
        <v>46</v>
      </c>
      <c r="C6" s="2" t="s">
        <v>8</v>
      </c>
      <c r="D6" s="15">
        <v>1.2</v>
      </c>
      <c r="E6" s="15">
        <v>2.2000000000000002</v>
      </c>
      <c r="F6" s="15"/>
      <c r="G6" s="2" t="s">
        <v>10</v>
      </c>
      <c r="H6" s="18">
        <f>D6*E6</f>
        <v>2.64</v>
      </c>
    </row>
    <row r="7" spans="2:8" x14ac:dyDescent="0.25">
      <c r="B7" s="1"/>
      <c r="C7" s="2"/>
      <c r="D7" s="15"/>
      <c r="E7" s="15"/>
      <c r="F7" s="15"/>
      <c r="G7" s="2"/>
      <c r="H7" s="18"/>
    </row>
    <row r="8" spans="2:8" x14ac:dyDescent="0.25">
      <c r="B8" s="11" t="s">
        <v>40</v>
      </c>
      <c r="C8" s="2" t="s">
        <v>7</v>
      </c>
      <c r="D8" s="15">
        <v>8</v>
      </c>
      <c r="E8" s="15">
        <v>2.2000000000000002</v>
      </c>
      <c r="F8" s="15"/>
      <c r="G8" s="2" t="s">
        <v>10</v>
      </c>
      <c r="H8" s="18">
        <f>D8*E8</f>
        <v>17.600000000000001</v>
      </c>
    </row>
    <row r="9" spans="2:8" x14ac:dyDescent="0.25">
      <c r="B9" s="11" t="s">
        <v>40</v>
      </c>
      <c r="C9" s="2" t="s">
        <v>8</v>
      </c>
      <c r="D9" s="15">
        <v>1.2</v>
      </c>
      <c r="E9" s="15">
        <v>2.2000000000000002</v>
      </c>
      <c r="F9" s="15"/>
      <c r="G9" s="2" t="s">
        <v>10</v>
      </c>
      <c r="H9" s="18">
        <f>D9*E9</f>
        <v>2.64</v>
      </c>
    </row>
    <row r="10" spans="2:8" x14ac:dyDescent="0.25">
      <c r="B10" s="11" t="s">
        <v>40</v>
      </c>
      <c r="C10" s="2" t="s">
        <v>9</v>
      </c>
      <c r="D10" s="15">
        <v>1.86</v>
      </c>
      <c r="E10" s="15">
        <v>2.2000000000000002</v>
      </c>
      <c r="F10" s="15"/>
      <c r="G10" s="2" t="s">
        <v>10</v>
      </c>
      <c r="H10" s="18">
        <f>D10*E10</f>
        <v>4.0920000000000005</v>
      </c>
    </row>
    <row r="11" spans="2:8" x14ac:dyDescent="0.25">
      <c r="B11" s="11" t="s">
        <v>40</v>
      </c>
      <c r="C11" s="2" t="s">
        <v>12</v>
      </c>
      <c r="D11" s="15">
        <v>3.54</v>
      </c>
      <c r="E11" s="15">
        <v>2.2000000000000002</v>
      </c>
      <c r="F11" s="15"/>
      <c r="G11" s="2" t="s">
        <v>10</v>
      </c>
      <c r="H11" s="18">
        <f>D11*E11</f>
        <v>7.7880000000000011</v>
      </c>
    </row>
    <row r="12" spans="2:8" x14ac:dyDescent="0.25">
      <c r="B12" s="1"/>
      <c r="C12" s="2"/>
      <c r="D12" s="15"/>
      <c r="E12" s="15"/>
      <c r="F12" s="15"/>
      <c r="G12" s="2"/>
      <c r="H12" s="18"/>
    </row>
    <row r="13" spans="2:8" x14ac:dyDescent="0.25">
      <c r="B13" s="11" t="s">
        <v>41</v>
      </c>
      <c r="C13" s="9" t="s">
        <v>7</v>
      </c>
      <c r="D13" s="15">
        <v>1.56</v>
      </c>
      <c r="E13" s="15">
        <v>2.2000000000000002</v>
      </c>
      <c r="F13" s="15"/>
      <c r="G13" s="2" t="s">
        <v>10</v>
      </c>
      <c r="H13" s="18">
        <f>D13*E13</f>
        <v>3.4320000000000004</v>
      </c>
    </row>
    <row r="14" spans="2:8" x14ac:dyDescent="0.25">
      <c r="B14" s="11" t="s">
        <v>41</v>
      </c>
      <c r="C14" s="9" t="s">
        <v>8</v>
      </c>
      <c r="D14" s="15">
        <v>2.81</v>
      </c>
      <c r="E14" s="15">
        <v>2.2000000000000002</v>
      </c>
      <c r="F14" s="15"/>
      <c r="G14" s="2" t="s">
        <v>10</v>
      </c>
      <c r="H14" s="18">
        <f>D14*E14</f>
        <v>6.1820000000000004</v>
      </c>
    </row>
    <row r="15" spans="2:8" x14ac:dyDescent="0.25">
      <c r="B15" s="1"/>
      <c r="C15" s="2"/>
      <c r="D15" s="15"/>
      <c r="E15" s="15"/>
      <c r="F15" s="15"/>
      <c r="G15" s="2"/>
      <c r="H15" s="18"/>
    </row>
    <row r="16" spans="2:8" x14ac:dyDescent="0.25">
      <c r="B16" s="11" t="s">
        <v>42</v>
      </c>
      <c r="C16" s="2" t="s">
        <v>7</v>
      </c>
      <c r="D16" s="15">
        <v>6.66</v>
      </c>
      <c r="E16" s="15">
        <v>2.2000000000000002</v>
      </c>
      <c r="F16" s="15"/>
      <c r="G16" s="2" t="s">
        <v>10</v>
      </c>
      <c r="H16" s="18">
        <f>D16*E16</f>
        <v>14.652000000000001</v>
      </c>
    </row>
    <row r="17" spans="2:8" x14ac:dyDescent="0.25">
      <c r="B17" s="11" t="s">
        <v>42</v>
      </c>
      <c r="C17" s="2" t="s">
        <v>8</v>
      </c>
      <c r="D17" s="15">
        <v>4.8</v>
      </c>
      <c r="E17" s="15">
        <v>2.2000000000000002</v>
      </c>
      <c r="F17" s="15"/>
      <c r="G17" s="2" t="s">
        <v>10</v>
      </c>
      <c r="H17" s="18">
        <f>D17*E17</f>
        <v>10.56</v>
      </c>
    </row>
    <row r="18" spans="2:8" x14ac:dyDescent="0.25">
      <c r="B18" s="11" t="s">
        <v>42</v>
      </c>
      <c r="C18" s="2" t="s">
        <v>9</v>
      </c>
      <c r="D18" s="15">
        <v>3.63</v>
      </c>
      <c r="E18" s="15">
        <v>2.2000000000000002</v>
      </c>
      <c r="F18" s="15"/>
      <c r="G18" s="2" t="s">
        <v>10</v>
      </c>
      <c r="H18" s="18">
        <f>D18*E18</f>
        <v>7.9860000000000007</v>
      </c>
    </row>
    <row r="19" spans="2:8" x14ac:dyDescent="0.25">
      <c r="B19" s="11" t="s">
        <v>42</v>
      </c>
      <c r="C19" s="2" t="s">
        <v>12</v>
      </c>
      <c r="D19" s="15">
        <v>4.49</v>
      </c>
      <c r="E19" s="15">
        <v>2.2000000000000002</v>
      </c>
      <c r="F19" s="15"/>
      <c r="G19" s="2" t="s">
        <v>10</v>
      </c>
      <c r="H19" s="18">
        <f>D19*E19</f>
        <v>9.8780000000000019</v>
      </c>
    </row>
    <row r="20" spans="2:8" x14ac:dyDescent="0.25">
      <c r="B20" s="1"/>
      <c r="C20" s="2"/>
      <c r="D20" s="15"/>
      <c r="E20" s="15"/>
      <c r="F20" s="15"/>
      <c r="G20" s="2"/>
      <c r="H20" s="18"/>
    </row>
    <row r="21" spans="2:8" x14ac:dyDescent="0.25">
      <c r="B21" s="11" t="s">
        <v>47</v>
      </c>
      <c r="C21" s="2" t="s">
        <v>7</v>
      </c>
      <c r="D21" s="15">
        <v>3.6</v>
      </c>
      <c r="E21" s="15">
        <v>2.2000000000000002</v>
      </c>
      <c r="F21" s="15"/>
      <c r="G21" s="9" t="s">
        <v>10</v>
      </c>
      <c r="H21" s="18">
        <f>D21*E21</f>
        <v>7.9200000000000008</v>
      </c>
    </row>
    <row r="22" spans="2:8" x14ac:dyDescent="0.25">
      <c r="B22" s="6" t="s">
        <v>23</v>
      </c>
      <c r="C22" s="7"/>
      <c r="D22" s="19"/>
      <c r="E22" s="19"/>
      <c r="F22" s="19"/>
      <c r="G22" s="7"/>
      <c r="H22" s="20">
        <f>SUM(H5:H21)</f>
        <v>98.956000000000017</v>
      </c>
    </row>
    <row r="24" spans="2:8" x14ac:dyDescent="0.25">
      <c r="B24" s="4"/>
      <c r="C24" s="5" t="s">
        <v>18</v>
      </c>
      <c r="D24" s="16" t="s">
        <v>3</v>
      </c>
      <c r="E24" s="16" t="s">
        <v>56</v>
      </c>
      <c r="F24" s="16"/>
      <c r="G24" s="5" t="s">
        <v>5</v>
      </c>
      <c r="H24" s="17" t="s">
        <v>6</v>
      </c>
    </row>
    <row r="25" spans="2:8" x14ac:dyDescent="0.25">
      <c r="B25" s="11" t="s">
        <v>40</v>
      </c>
      <c r="C25" s="2" t="s">
        <v>19</v>
      </c>
      <c r="D25" s="15">
        <v>0.6</v>
      </c>
      <c r="E25" s="15">
        <v>1.8</v>
      </c>
      <c r="F25" s="15"/>
      <c r="G25" s="2" t="s">
        <v>10</v>
      </c>
      <c r="H25" s="18">
        <f>D25*E25</f>
        <v>1.08</v>
      </c>
    </row>
    <row r="26" spans="2:8" x14ac:dyDescent="0.25">
      <c r="B26" s="1"/>
      <c r="C26" s="2"/>
      <c r="D26" s="15"/>
      <c r="E26" s="15"/>
      <c r="F26" s="15"/>
      <c r="G26" s="2"/>
      <c r="H26" s="18"/>
    </row>
    <row r="27" spans="2:8" x14ac:dyDescent="0.25">
      <c r="B27" s="11" t="s">
        <v>41</v>
      </c>
      <c r="C27" s="2" t="s">
        <v>19</v>
      </c>
      <c r="D27" s="15">
        <v>0.6</v>
      </c>
      <c r="E27" s="15">
        <v>3</v>
      </c>
      <c r="F27" s="15"/>
      <c r="G27" s="2" t="s">
        <v>10</v>
      </c>
      <c r="H27" s="18">
        <f>D27*E27</f>
        <v>1.7999999999999998</v>
      </c>
    </row>
    <row r="28" spans="2:8" x14ac:dyDescent="0.25">
      <c r="B28" s="11" t="s">
        <v>41</v>
      </c>
      <c r="C28" s="2" t="s">
        <v>20</v>
      </c>
      <c r="D28" s="15">
        <v>0.55000000000000004</v>
      </c>
      <c r="E28" s="15">
        <v>0.55000000000000004</v>
      </c>
      <c r="F28" s="15"/>
      <c r="G28" s="2" t="s">
        <v>10</v>
      </c>
      <c r="H28" s="18">
        <f>D28*E28</f>
        <v>0.30250000000000005</v>
      </c>
    </row>
    <row r="29" spans="2:8" x14ac:dyDescent="0.25">
      <c r="B29" s="1"/>
      <c r="C29" s="2"/>
      <c r="D29" s="15"/>
      <c r="E29" s="15"/>
      <c r="F29" s="15"/>
      <c r="G29" s="2"/>
      <c r="H29" s="18"/>
    </row>
    <row r="30" spans="2:8" x14ac:dyDescent="0.25">
      <c r="B30" s="11" t="s">
        <v>48</v>
      </c>
      <c r="C30" s="2" t="s">
        <v>19</v>
      </c>
      <c r="D30" s="15">
        <v>0.72</v>
      </c>
      <c r="E30" s="15">
        <v>0.52</v>
      </c>
      <c r="F30" s="15"/>
      <c r="G30" s="37" t="s">
        <v>10</v>
      </c>
      <c r="H30" s="18">
        <f>D30*E30</f>
        <v>0.37440000000000001</v>
      </c>
    </row>
    <row r="31" spans="2:8" x14ac:dyDescent="0.25">
      <c r="B31" s="6" t="s">
        <v>23</v>
      </c>
      <c r="C31" s="7"/>
      <c r="D31" s="19"/>
      <c r="E31" s="19"/>
      <c r="F31" s="19"/>
      <c r="G31" s="7"/>
      <c r="H31" s="20">
        <f>SUM(H25:H30)</f>
        <v>3.5569000000000002</v>
      </c>
    </row>
    <row r="33" spans="2:8" x14ac:dyDescent="0.25">
      <c r="B33" s="14"/>
      <c r="C33" s="5" t="s">
        <v>43</v>
      </c>
      <c r="D33" s="16" t="s">
        <v>3</v>
      </c>
      <c r="E33" s="16" t="s">
        <v>4</v>
      </c>
      <c r="F33" s="16"/>
      <c r="G33" s="5" t="s">
        <v>5</v>
      </c>
      <c r="H33" s="17" t="s">
        <v>6</v>
      </c>
    </row>
    <row r="34" spans="2:8" x14ac:dyDescent="0.25">
      <c r="B34" s="22"/>
      <c r="C34" s="2" t="s">
        <v>7</v>
      </c>
      <c r="D34" s="15">
        <v>1.58</v>
      </c>
      <c r="E34" s="15">
        <v>2</v>
      </c>
      <c r="F34" s="15"/>
      <c r="G34" s="2" t="s">
        <v>10</v>
      </c>
      <c r="H34" s="18">
        <f>D34*E34</f>
        <v>3.16</v>
      </c>
    </row>
    <row r="35" spans="2:8" x14ac:dyDescent="0.25">
      <c r="B35" s="1" t="s">
        <v>41</v>
      </c>
      <c r="C35" s="2" t="s">
        <v>8</v>
      </c>
      <c r="D35" s="15">
        <v>3</v>
      </c>
      <c r="E35" s="15">
        <v>2</v>
      </c>
      <c r="F35" s="15"/>
      <c r="G35" s="2" t="s">
        <v>10</v>
      </c>
      <c r="H35" s="18">
        <f>D35*E35</f>
        <v>6</v>
      </c>
    </row>
    <row r="36" spans="2:8" x14ac:dyDescent="0.25">
      <c r="B36" s="1" t="s">
        <v>41</v>
      </c>
      <c r="C36" s="2" t="s">
        <v>9</v>
      </c>
      <c r="D36" s="15">
        <v>4.71</v>
      </c>
      <c r="E36" s="15">
        <v>2</v>
      </c>
      <c r="F36" s="15"/>
      <c r="G36" s="2" t="s">
        <v>10</v>
      </c>
      <c r="H36" s="18">
        <f>D36*E36</f>
        <v>9.42</v>
      </c>
    </row>
    <row r="37" spans="2:8" x14ac:dyDescent="0.25">
      <c r="B37" s="1"/>
      <c r="C37" s="2"/>
      <c r="D37" s="15"/>
      <c r="E37" s="15"/>
      <c r="F37" s="15"/>
      <c r="G37" s="2"/>
      <c r="H37" s="18"/>
    </row>
    <row r="38" spans="2:8" x14ac:dyDescent="0.25">
      <c r="B38" s="1" t="s">
        <v>47</v>
      </c>
      <c r="C38" s="2" t="s">
        <v>7</v>
      </c>
      <c r="D38" s="15">
        <v>1.0900000000000001</v>
      </c>
      <c r="E38" s="15">
        <v>2</v>
      </c>
      <c r="F38" s="15"/>
      <c r="G38" s="2" t="s">
        <v>10</v>
      </c>
      <c r="H38" s="18">
        <f>D38*E38</f>
        <v>2.1800000000000002</v>
      </c>
    </row>
    <row r="39" spans="2:8" x14ac:dyDescent="0.25">
      <c r="B39" s="6" t="s">
        <v>23</v>
      </c>
      <c r="C39" s="7"/>
      <c r="D39" s="19"/>
      <c r="E39" s="19"/>
      <c r="F39" s="19"/>
      <c r="G39" s="7"/>
      <c r="H39" s="20">
        <f>SUM(H34:H38)</f>
        <v>20.759999999999998</v>
      </c>
    </row>
    <row r="41" spans="2:8" x14ac:dyDescent="0.25">
      <c r="B41" s="14"/>
      <c r="C41" s="5" t="s">
        <v>44</v>
      </c>
      <c r="D41" s="16" t="s">
        <v>3</v>
      </c>
      <c r="E41" s="16" t="s">
        <v>4</v>
      </c>
      <c r="F41" s="16"/>
      <c r="G41" s="5" t="s">
        <v>5</v>
      </c>
      <c r="H41" s="17" t="s">
        <v>6</v>
      </c>
    </row>
    <row r="42" spans="2:8" x14ac:dyDescent="0.25">
      <c r="B42" s="1" t="s">
        <v>42</v>
      </c>
      <c r="C42" s="2" t="s">
        <v>7</v>
      </c>
      <c r="D42" s="15">
        <v>5.0599999999999996</v>
      </c>
      <c r="E42" s="15">
        <v>2.5</v>
      </c>
      <c r="F42" s="15"/>
      <c r="G42" s="2" t="s">
        <v>10</v>
      </c>
      <c r="H42" s="18">
        <f>D42*E42</f>
        <v>12.649999999999999</v>
      </c>
    </row>
    <row r="43" spans="2:8" x14ac:dyDescent="0.25">
      <c r="B43" s="1" t="s">
        <v>42</v>
      </c>
      <c r="C43" s="2" t="s">
        <v>8</v>
      </c>
      <c r="D43" s="15">
        <v>5.03</v>
      </c>
      <c r="E43" s="15">
        <v>2.5</v>
      </c>
      <c r="F43" s="15"/>
      <c r="G43" s="2" t="s">
        <v>10</v>
      </c>
      <c r="H43" s="18">
        <f>D43*E43</f>
        <v>12.575000000000001</v>
      </c>
    </row>
    <row r="44" spans="2:8" x14ac:dyDescent="0.25">
      <c r="B44" s="1" t="s">
        <v>42</v>
      </c>
      <c r="C44" s="2" t="s">
        <v>9</v>
      </c>
      <c r="D44" s="15">
        <v>4.0599999999999996</v>
      </c>
      <c r="E44" s="15">
        <v>2.5</v>
      </c>
      <c r="F44" s="15"/>
      <c r="G44" s="2" t="s">
        <v>10</v>
      </c>
      <c r="H44" s="18">
        <f>D44*E44</f>
        <v>10.149999999999999</v>
      </c>
    </row>
    <row r="45" spans="2:8" x14ac:dyDescent="0.25">
      <c r="B45" s="1" t="s">
        <v>42</v>
      </c>
      <c r="C45" s="2" t="s">
        <v>12</v>
      </c>
      <c r="D45" s="15">
        <v>4.1100000000000003</v>
      </c>
      <c r="E45" s="15">
        <v>2.5</v>
      </c>
      <c r="F45" s="15"/>
      <c r="G45" s="2" t="s">
        <v>10</v>
      </c>
      <c r="H45" s="18">
        <f>D45*E45</f>
        <v>10.275</v>
      </c>
    </row>
    <row r="46" spans="2:8" x14ac:dyDescent="0.25">
      <c r="B46" s="1"/>
      <c r="C46" s="2"/>
      <c r="D46" s="15"/>
      <c r="E46" s="15"/>
      <c r="F46" s="15"/>
      <c r="G46" s="2"/>
      <c r="H46" s="18"/>
    </row>
    <row r="47" spans="2:8" x14ac:dyDescent="0.25">
      <c r="B47" s="11" t="s">
        <v>47</v>
      </c>
      <c r="C47" s="2" t="s">
        <v>7</v>
      </c>
      <c r="D47" s="15">
        <v>5.04</v>
      </c>
      <c r="E47" s="15">
        <v>2.5</v>
      </c>
      <c r="F47" s="15"/>
      <c r="G47" s="2" t="s">
        <v>10</v>
      </c>
      <c r="H47" s="18">
        <f>D47*E47</f>
        <v>12.6</v>
      </c>
    </row>
    <row r="48" spans="2:8" x14ac:dyDescent="0.25">
      <c r="B48" s="11" t="s">
        <v>47</v>
      </c>
      <c r="C48" s="2" t="s">
        <v>8</v>
      </c>
      <c r="D48" s="15">
        <v>5.01</v>
      </c>
      <c r="E48" s="15">
        <v>2.5</v>
      </c>
      <c r="F48" s="15"/>
      <c r="G48" s="2" t="s">
        <v>10</v>
      </c>
      <c r="H48" s="18">
        <f>D48*E48</f>
        <v>12.524999999999999</v>
      </c>
    </row>
    <row r="49" spans="2:8" x14ac:dyDescent="0.25">
      <c r="B49" s="11" t="s">
        <v>47</v>
      </c>
      <c r="C49" s="2" t="s">
        <v>9</v>
      </c>
      <c r="D49" s="15">
        <v>1.85</v>
      </c>
      <c r="E49" s="15">
        <v>2.5</v>
      </c>
      <c r="F49" s="15"/>
      <c r="G49" s="2" t="s">
        <v>10</v>
      </c>
      <c r="H49" s="18">
        <f>D49*E49</f>
        <v>4.625</v>
      </c>
    </row>
    <row r="50" spans="2:8" x14ac:dyDescent="0.25">
      <c r="B50" s="11" t="s">
        <v>47</v>
      </c>
      <c r="C50" s="2" t="s">
        <v>12</v>
      </c>
      <c r="D50" s="15">
        <v>5.85</v>
      </c>
      <c r="E50" s="15">
        <v>2.5</v>
      </c>
      <c r="F50" s="15"/>
      <c r="G50" s="2" t="s">
        <v>10</v>
      </c>
      <c r="H50" s="18">
        <f>D50*E50</f>
        <v>14.625</v>
      </c>
    </row>
    <row r="51" spans="2:8" x14ac:dyDescent="0.25">
      <c r="B51" s="11" t="s">
        <v>47</v>
      </c>
      <c r="C51" s="2" t="s">
        <v>13</v>
      </c>
      <c r="D51" s="24">
        <v>5.25</v>
      </c>
      <c r="E51" s="15">
        <v>2.5</v>
      </c>
      <c r="F51" s="15"/>
      <c r="G51" s="2" t="s">
        <v>10</v>
      </c>
      <c r="H51" s="18">
        <f>D51*E51</f>
        <v>13.125</v>
      </c>
    </row>
    <row r="52" spans="2:8" x14ac:dyDescent="0.25">
      <c r="B52" s="6" t="s">
        <v>23</v>
      </c>
      <c r="C52" s="7"/>
      <c r="D52" s="19"/>
      <c r="E52" s="19"/>
      <c r="F52" s="19"/>
      <c r="G52" s="7"/>
      <c r="H52" s="20">
        <f>SUM(H42:H51)</f>
        <v>103.15</v>
      </c>
    </row>
    <row r="53" spans="2:8" x14ac:dyDescent="0.25">
      <c r="B53" s="10"/>
      <c r="C53" s="10"/>
      <c r="D53" s="25"/>
      <c r="E53" s="25"/>
      <c r="F53" s="25"/>
      <c r="G53" s="10"/>
      <c r="H53" s="25"/>
    </row>
    <row r="54" spans="2:8" x14ac:dyDescent="0.25">
      <c r="B54" s="14"/>
      <c r="C54" s="5" t="s">
        <v>45</v>
      </c>
      <c r="D54" s="16" t="s">
        <v>3</v>
      </c>
      <c r="E54" s="16" t="s">
        <v>4</v>
      </c>
      <c r="F54" s="16"/>
      <c r="G54" s="5" t="s">
        <v>5</v>
      </c>
      <c r="H54" s="17" t="s">
        <v>6</v>
      </c>
    </row>
    <row r="55" spans="2:8" x14ac:dyDescent="0.25">
      <c r="B55" s="1" t="s">
        <v>41</v>
      </c>
      <c r="C55" s="2" t="s">
        <v>7</v>
      </c>
      <c r="D55" s="15">
        <v>1.42</v>
      </c>
      <c r="E55" s="15">
        <v>2.74</v>
      </c>
      <c r="F55" s="15"/>
      <c r="G55" s="2" t="s">
        <v>10</v>
      </c>
      <c r="H55" s="18">
        <f t="shared" ref="H55:H60" si="0">D55*E55</f>
        <v>3.8908</v>
      </c>
    </row>
    <row r="56" spans="2:8" x14ac:dyDescent="0.25">
      <c r="B56" s="1" t="s">
        <v>41</v>
      </c>
      <c r="C56" s="2" t="s">
        <v>8</v>
      </c>
      <c r="D56" s="15">
        <v>5</v>
      </c>
      <c r="E56" s="15">
        <v>2.74</v>
      </c>
      <c r="F56" s="15"/>
      <c r="G56" s="2" t="s">
        <v>10</v>
      </c>
      <c r="H56" s="18">
        <f t="shared" si="0"/>
        <v>13.700000000000001</v>
      </c>
    </row>
    <row r="57" spans="2:8" x14ac:dyDescent="0.25">
      <c r="B57" s="1" t="s">
        <v>41</v>
      </c>
      <c r="C57" s="2" t="s">
        <v>9</v>
      </c>
      <c r="D57" s="15">
        <v>3.36</v>
      </c>
      <c r="E57" s="15">
        <v>2.74</v>
      </c>
      <c r="F57" s="15"/>
      <c r="G57" s="2" t="s">
        <v>10</v>
      </c>
      <c r="H57" s="18">
        <f t="shared" si="0"/>
        <v>9.2064000000000004</v>
      </c>
    </row>
    <row r="58" spans="2:8" x14ac:dyDescent="0.25">
      <c r="B58" s="1" t="s">
        <v>41</v>
      </c>
      <c r="C58" s="2" t="s">
        <v>12</v>
      </c>
      <c r="D58" s="15">
        <v>1.24</v>
      </c>
      <c r="E58" s="15">
        <v>2.74</v>
      </c>
      <c r="F58" s="15"/>
      <c r="G58" s="2" t="s">
        <v>10</v>
      </c>
      <c r="H58" s="18">
        <f t="shared" si="0"/>
        <v>3.3976000000000002</v>
      </c>
    </row>
    <row r="59" spans="2:8" x14ac:dyDescent="0.25">
      <c r="B59" s="1"/>
      <c r="C59" s="2"/>
      <c r="D59" s="15"/>
      <c r="E59" s="15"/>
      <c r="F59" s="15"/>
      <c r="G59" s="2" t="s">
        <v>10</v>
      </c>
      <c r="H59" s="18">
        <f t="shared" si="0"/>
        <v>0</v>
      </c>
    </row>
    <row r="60" spans="2:8" x14ac:dyDescent="0.25">
      <c r="B60" s="11" t="s">
        <v>42</v>
      </c>
      <c r="C60" s="2" t="s">
        <v>7</v>
      </c>
      <c r="D60" s="15">
        <v>4.0599999999999996</v>
      </c>
      <c r="E60" s="15">
        <v>2.74</v>
      </c>
      <c r="F60" s="15"/>
      <c r="G60" s="2" t="s">
        <v>10</v>
      </c>
      <c r="H60" s="18">
        <f t="shared" si="0"/>
        <v>11.1244</v>
      </c>
    </row>
    <row r="61" spans="2:8" x14ac:dyDescent="0.25">
      <c r="B61" s="6" t="s">
        <v>23</v>
      </c>
      <c r="C61" s="7"/>
      <c r="D61" s="19"/>
      <c r="E61" s="19"/>
      <c r="F61" s="19"/>
      <c r="G61" s="7"/>
      <c r="H61" s="20">
        <f>SUM(H55:H60)</f>
        <v>41.319200000000002</v>
      </c>
    </row>
    <row r="63" spans="2:8" x14ac:dyDescent="0.25">
      <c r="B63" s="4"/>
      <c r="C63" s="5" t="s">
        <v>26</v>
      </c>
      <c r="D63" s="21"/>
      <c r="E63" s="21"/>
      <c r="F63" s="21"/>
      <c r="G63" s="5" t="s">
        <v>5</v>
      </c>
      <c r="H63" s="17" t="s">
        <v>6</v>
      </c>
    </row>
    <row r="64" spans="2:8" x14ac:dyDescent="0.25">
      <c r="B64" s="11" t="s">
        <v>46</v>
      </c>
      <c r="C64" s="3" t="s">
        <v>25</v>
      </c>
      <c r="D64" s="24"/>
      <c r="E64" s="24"/>
      <c r="F64" s="24"/>
      <c r="G64" s="2" t="s">
        <v>5</v>
      </c>
      <c r="H64" s="18">
        <v>7</v>
      </c>
    </row>
    <row r="65" spans="2:8" x14ac:dyDescent="0.25">
      <c r="B65" s="11" t="s">
        <v>46</v>
      </c>
      <c r="C65" s="3" t="s">
        <v>27</v>
      </c>
      <c r="D65" s="24"/>
      <c r="E65" s="24"/>
      <c r="F65" s="24"/>
      <c r="G65" s="2" t="s">
        <v>5</v>
      </c>
      <c r="H65" s="18">
        <v>2</v>
      </c>
    </row>
    <row r="66" spans="2:8" x14ac:dyDescent="0.25">
      <c r="B66" s="11"/>
      <c r="C66" s="10"/>
      <c r="D66" s="24"/>
      <c r="E66" s="24"/>
      <c r="F66" s="24"/>
      <c r="G66" s="10"/>
      <c r="H66" s="18"/>
    </row>
    <row r="67" spans="2:8" x14ac:dyDescent="0.25">
      <c r="B67" s="11" t="s">
        <v>40</v>
      </c>
      <c r="C67" s="3" t="s">
        <v>25</v>
      </c>
      <c r="D67" s="24"/>
      <c r="E67" s="24"/>
      <c r="F67" s="24"/>
      <c r="G67" s="2" t="s">
        <v>5</v>
      </c>
      <c r="H67" s="18">
        <v>4</v>
      </c>
    </row>
    <row r="68" spans="2:8" x14ac:dyDescent="0.25">
      <c r="B68" s="11" t="s">
        <v>40</v>
      </c>
      <c r="C68" s="3" t="s">
        <v>27</v>
      </c>
      <c r="D68" s="24"/>
      <c r="E68" s="24"/>
      <c r="F68" s="24"/>
      <c r="G68" s="2" t="s">
        <v>5</v>
      </c>
      <c r="H68" s="18">
        <v>6</v>
      </c>
    </row>
    <row r="69" spans="2:8" x14ac:dyDescent="0.25">
      <c r="B69" s="11"/>
      <c r="C69" s="10"/>
      <c r="D69" s="24"/>
      <c r="E69" s="24"/>
      <c r="F69" s="24"/>
      <c r="G69" s="10"/>
      <c r="H69" s="18"/>
    </row>
    <row r="70" spans="2:8" x14ac:dyDescent="0.25">
      <c r="B70" s="1" t="s">
        <v>41</v>
      </c>
      <c r="C70" s="3" t="s">
        <v>27</v>
      </c>
      <c r="D70" s="15"/>
      <c r="E70" s="15"/>
      <c r="F70" s="15"/>
      <c r="G70" s="2" t="s">
        <v>5</v>
      </c>
      <c r="H70" s="18">
        <v>23</v>
      </c>
    </row>
    <row r="71" spans="2:8" x14ac:dyDescent="0.25">
      <c r="B71" s="1" t="s">
        <v>41</v>
      </c>
      <c r="C71" s="2" t="s">
        <v>28</v>
      </c>
      <c r="D71" s="15"/>
      <c r="E71" s="15"/>
      <c r="F71" s="15"/>
      <c r="G71" s="2" t="s">
        <v>5</v>
      </c>
      <c r="H71" s="18">
        <v>4</v>
      </c>
    </row>
    <row r="72" spans="2:8" x14ac:dyDescent="0.25">
      <c r="B72" s="1"/>
      <c r="C72" s="2"/>
      <c r="D72" s="15"/>
      <c r="E72" s="15"/>
      <c r="F72" s="15"/>
      <c r="G72" s="2"/>
      <c r="H72" s="18"/>
    </row>
    <row r="73" spans="2:8" x14ac:dyDescent="0.25">
      <c r="B73" s="1" t="s">
        <v>42</v>
      </c>
      <c r="C73" s="3" t="s">
        <v>27</v>
      </c>
      <c r="D73" s="15"/>
      <c r="E73" s="15"/>
      <c r="F73" s="15"/>
      <c r="G73" s="2" t="s">
        <v>5</v>
      </c>
      <c r="H73" s="18">
        <v>17</v>
      </c>
    </row>
    <row r="74" spans="2:8" x14ac:dyDescent="0.25">
      <c r="B74" s="1" t="s">
        <v>42</v>
      </c>
      <c r="C74" s="2" t="s">
        <v>28</v>
      </c>
      <c r="D74" s="15"/>
      <c r="E74" s="15"/>
      <c r="F74" s="15"/>
      <c r="G74" s="2" t="s">
        <v>5</v>
      </c>
      <c r="H74" s="18">
        <v>5</v>
      </c>
    </row>
    <row r="75" spans="2:8" x14ac:dyDescent="0.25">
      <c r="B75" s="1"/>
      <c r="C75" s="2"/>
      <c r="D75" s="15"/>
      <c r="E75" s="15"/>
      <c r="F75" s="15"/>
      <c r="G75" s="2"/>
      <c r="H75" s="18"/>
    </row>
    <row r="76" spans="2:8" x14ac:dyDescent="0.25">
      <c r="B76" s="1" t="s">
        <v>49</v>
      </c>
      <c r="C76" s="2" t="s">
        <v>28</v>
      </c>
      <c r="D76" s="15"/>
      <c r="E76" s="15"/>
      <c r="F76" s="15"/>
      <c r="G76" s="2" t="s">
        <v>5</v>
      </c>
      <c r="H76" s="18">
        <v>1</v>
      </c>
    </row>
    <row r="77" spans="2:8" x14ac:dyDescent="0.25">
      <c r="B77" s="1"/>
      <c r="C77" s="3"/>
      <c r="D77" s="15"/>
      <c r="E77" s="15"/>
      <c r="F77" s="15"/>
      <c r="G77" s="2"/>
      <c r="H77" s="18"/>
    </row>
    <row r="78" spans="2:8" x14ac:dyDescent="0.25">
      <c r="B78" s="11" t="s">
        <v>50</v>
      </c>
      <c r="C78" s="3" t="s">
        <v>27</v>
      </c>
      <c r="D78" s="15"/>
      <c r="E78" s="15"/>
      <c r="F78" s="15"/>
      <c r="G78" s="2" t="s">
        <v>5</v>
      </c>
      <c r="H78" s="18">
        <v>1</v>
      </c>
    </row>
    <row r="79" spans="2:8" x14ac:dyDescent="0.25">
      <c r="B79" s="11" t="s">
        <v>50</v>
      </c>
      <c r="C79" s="2" t="s">
        <v>28</v>
      </c>
      <c r="D79" s="15"/>
      <c r="E79" s="15"/>
      <c r="F79" s="15"/>
      <c r="G79" s="2" t="s">
        <v>5</v>
      </c>
      <c r="H79" s="18">
        <v>2</v>
      </c>
    </row>
    <row r="80" spans="2:8" x14ac:dyDescent="0.25">
      <c r="B80" s="1"/>
      <c r="C80" s="3"/>
      <c r="D80" s="15"/>
      <c r="E80" s="15"/>
      <c r="F80" s="15"/>
      <c r="G80" s="2"/>
      <c r="H80" s="18"/>
    </row>
    <row r="81" spans="2:8" x14ac:dyDescent="0.25">
      <c r="B81" s="11" t="s">
        <v>47</v>
      </c>
      <c r="C81" s="3" t="s">
        <v>25</v>
      </c>
      <c r="D81" s="15"/>
      <c r="E81" s="15"/>
      <c r="F81" s="15"/>
      <c r="G81" s="2" t="s">
        <v>5</v>
      </c>
      <c r="H81" s="18">
        <v>3</v>
      </c>
    </row>
    <row r="82" spans="2:8" x14ac:dyDescent="0.25">
      <c r="B82" s="11" t="s">
        <v>47</v>
      </c>
      <c r="C82" s="3" t="s">
        <v>27</v>
      </c>
      <c r="D82" s="15"/>
      <c r="E82" s="15"/>
      <c r="F82" s="15"/>
      <c r="G82" s="2" t="s">
        <v>5</v>
      </c>
      <c r="H82" s="18">
        <v>15</v>
      </c>
    </row>
    <row r="83" spans="2:8" x14ac:dyDescent="0.25">
      <c r="B83" s="11" t="s">
        <v>47</v>
      </c>
      <c r="C83" s="2" t="s">
        <v>28</v>
      </c>
      <c r="D83" s="15"/>
      <c r="E83" s="15"/>
      <c r="F83" s="15"/>
      <c r="G83" s="2" t="s">
        <v>5</v>
      </c>
      <c r="H83" s="18">
        <v>5</v>
      </c>
    </row>
    <row r="84" spans="2:8" x14ac:dyDescent="0.25">
      <c r="B84" s="11"/>
      <c r="C84" s="2"/>
      <c r="D84" s="15"/>
      <c r="E84" s="15"/>
      <c r="F84" s="15"/>
      <c r="G84" s="2"/>
      <c r="H84" s="18"/>
    </row>
    <row r="85" spans="2:8" x14ac:dyDescent="0.25">
      <c r="B85" s="11" t="s">
        <v>48</v>
      </c>
      <c r="C85" s="3" t="s">
        <v>27</v>
      </c>
      <c r="D85" s="15"/>
      <c r="E85" s="15"/>
      <c r="F85" s="15"/>
      <c r="G85" s="2" t="s">
        <v>5</v>
      </c>
      <c r="H85" s="18">
        <v>3</v>
      </c>
    </row>
    <row r="86" spans="2:8" x14ac:dyDescent="0.25">
      <c r="B86" s="11" t="s">
        <v>48</v>
      </c>
      <c r="C86" s="2" t="s">
        <v>28</v>
      </c>
      <c r="D86" s="15"/>
      <c r="E86" s="15"/>
      <c r="F86" s="15"/>
      <c r="G86" s="2" t="s">
        <v>5</v>
      </c>
      <c r="H86" s="18">
        <v>2</v>
      </c>
    </row>
    <row r="87" spans="2:8" x14ac:dyDescent="0.25">
      <c r="B87" s="6" t="s">
        <v>23</v>
      </c>
      <c r="C87" s="7"/>
      <c r="D87" s="19"/>
      <c r="E87" s="19"/>
      <c r="F87" s="19"/>
      <c r="G87" s="7"/>
      <c r="H87" s="20">
        <f>SUM(H64:H86)</f>
        <v>100</v>
      </c>
    </row>
    <row r="89" spans="2:8" x14ac:dyDescent="0.25">
      <c r="B89" s="4"/>
      <c r="C89" s="5" t="s">
        <v>29</v>
      </c>
      <c r="D89" s="21"/>
      <c r="E89" s="21"/>
      <c r="F89" s="21"/>
      <c r="G89" s="5" t="s">
        <v>5</v>
      </c>
      <c r="H89" s="17" t="s">
        <v>6</v>
      </c>
    </row>
    <row r="90" spans="2:8" x14ac:dyDescent="0.25">
      <c r="B90" s="1" t="s">
        <v>42</v>
      </c>
      <c r="C90" s="2" t="s">
        <v>30</v>
      </c>
      <c r="D90" s="15"/>
      <c r="E90" s="15"/>
      <c r="F90" s="15"/>
      <c r="G90" s="2" t="s">
        <v>5</v>
      </c>
      <c r="H90" s="18">
        <v>1</v>
      </c>
    </row>
    <row r="91" spans="2:8" x14ac:dyDescent="0.25">
      <c r="B91" s="1"/>
      <c r="C91" s="2"/>
      <c r="D91" s="15"/>
      <c r="E91" s="15"/>
      <c r="F91" s="15"/>
      <c r="G91" s="2"/>
      <c r="H91" s="18"/>
    </row>
    <row r="92" spans="2:8" x14ac:dyDescent="0.25">
      <c r="B92" s="1" t="s">
        <v>51</v>
      </c>
      <c r="C92" s="2" t="s">
        <v>30</v>
      </c>
      <c r="D92" s="15"/>
      <c r="E92" s="15"/>
      <c r="F92" s="15"/>
      <c r="G92" s="2" t="s">
        <v>5</v>
      </c>
      <c r="H92" s="18">
        <v>1</v>
      </c>
    </row>
    <row r="93" spans="2:8" x14ac:dyDescent="0.25">
      <c r="B93" s="1"/>
      <c r="C93" s="2"/>
      <c r="D93" s="15"/>
      <c r="E93" s="15"/>
      <c r="F93" s="15"/>
      <c r="G93" s="2"/>
      <c r="H93" s="18"/>
    </row>
    <row r="94" spans="2:8" x14ac:dyDescent="0.25">
      <c r="B94" s="1" t="s">
        <v>47</v>
      </c>
      <c r="C94" s="2" t="s">
        <v>30</v>
      </c>
      <c r="D94" s="15"/>
      <c r="E94" s="15"/>
      <c r="F94" s="15"/>
      <c r="G94" s="2" t="s">
        <v>5</v>
      </c>
      <c r="H94" s="18">
        <v>2</v>
      </c>
    </row>
    <row r="95" spans="2:8" x14ac:dyDescent="0.25">
      <c r="B95" s="6" t="s">
        <v>23</v>
      </c>
      <c r="C95" s="7"/>
      <c r="D95" s="19"/>
      <c r="E95" s="19"/>
      <c r="F95" s="19"/>
      <c r="G95" s="7"/>
      <c r="H95" s="20">
        <f>SUM(H90:H94)</f>
        <v>4</v>
      </c>
    </row>
    <row r="97" spans="2:8" x14ac:dyDescent="0.25">
      <c r="B97" s="4"/>
      <c r="C97" s="5" t="s">
        <v>31</v>
      </c>
      <c r="D97" s="21"/>
      <c r="E97" s="21"/>
      <c r="F97" s="21"/>
      <c r="G97" s="5" t="s">
        <v>5</v>
      </c>
      <c r="H97" s="17" t="s">
        <v>6</v>
      </c>
    </row>
    <row r="98" spans="2:8" x14ac:dyDescent="0.25">
      <c r="B98" s="23" t="s">
        <v>46</v>
      </c>
      <c r="C98" s="12" t="s">
        <v>32</v>
      </c>
      <c r="D98" s="26"/>
      <c r="E98" s="26"/>
      <c r="F98" s="26"/>
      <c r="G98" s="12" t="s">
        <v>5</v>
      </c>
      <c r="H98" s="31">
        <v>1</v>
      </c>
    </row>
    <row r="99" spans="2:8" x14ac:dyDescent="0.25">
      <c r="B99" s="23"/>
      <c r="C99" s="12"/>
      <c r="D99" s="26"/>
      <c r="E99" s="26"/>
      <c r="F99" s="26"/>
      <c r="G99" s="12"/>
      <c r="H99" s="31"/>
    </row>
    <row r="100" spans="2:8" x14ac:dyDescent="0.25">
      <c r="B100" s="23" t="s">
        <v>40</v>
      </c>
      <c r="C100" s="12" t="s">
        <v>32</v>
      </c>
      <c r="D100" s="26"/>
      <c r="E100" s="26"/>
      <c r="F100" s="26"/>
      <c r="G100" s="12" t="s">
        <v>5</v>
      </c>
      <c r="H100" s="31">
        <v>1</v>
      </c>
    </row>
    <row r="101" spans="2:8" x14ac:dyDescent="0.25">
      <c r="B101" s="23"/>
      <c r="C101" s="12"/>
      <c r="D101" s="26"/>
      <c r="E101" s="26"/>
      <c r="F101" s="26"/>
      <c r="G101" s="12"/>
      <c r="H101" s="31"/>
    </row>
    <row r="102" spans="2:8" x14ac:dyDescent="0.25">
      <c r="B102" s="23" t="s">
        <v>41</v>
      </c>
      <c r="C102" s="12" t="s">
        <v>32</v>
      </c>
      <c r="D102" s="26"/>
      <c r="E102" s="26"/>
      <c r="F102" s="26"/>
      <c r="G102" s="12" t="s">
        <v>5</v>
      </c>
      <c r="H102" s="31">
        <v>4</v>
      </c>
    </row>
    <row r="103" spans="2:8" x14ac:dyDescent="0.25">
      <c r="B103" s="1"/>
      <c r="C103" s="2"/>
      <c r="D103" s="15"/>
      <c r="E103" s="15"/>
      <c r="F103" s="15"/>
      <c r="G103" s="2"/>
      <c r="H103" s="18"/>
    </row>
    <row r="104" spans="2:8" x14ac:dyDescent="0.25">
      <c r="B104" s="1" t="s">
        <v>42</v>
      </c>
      <c r="C104" s="2" t="s">
        <v>32</v>
      </c>
      <c r="D104" s="15"/>
      <c r="E104" s="15"/>
      <c r="F104" s="15"/>
      <c r="G104" s="2" t="s">
        <v>5</v>
      </c>
      <c r="H104" s="18">
        <v>4</v>
      </c>
    </row>
    <row r="105" spans="2:8" x14ac:dyDescent="0.25">
      <c r="B105" s="1"/>
      <c r="C105" s="2"/>
      <c r="D105" s="15"/>
      <c r="E105" s="15"/>
      <c r="F105" s="15"/>
      <c r="G105" s="2"/>
      <c r="H105" s="18"/>
    </row>
    <row r="106" spans="2:8" x14ac:dyDescent="0.25">
      <c r="B106" s="1" t="s">
        <v>47</v>
      </c>
      <c r="C106" s="2" t="s">
        <v>32</v>
      </c>
      <c r="D106" s="15"/>
      <c r="E106" s="15"/>
      <c r="F106" s="15"/>
      <c r="G106" s="2" t="s">
        <v>5</v>
      </c>
      <c r="H106" s="18">
        <v>4</v>
      </c>
    </row>
    <row r="107" spans="2:8" x14ac:dyDescent="0.25">
      <c r="B107" s="1"/>
      <c r="C107" s="2"/>
      <c r="D107" s="15"/>
      <c r="E107" s="15"/>
      <c r="F107" s="15"/>
      <c r="G107" s="2"/>
      <c r="H107" s="18"/>
    </row>
    <row r="108" spans="2:8" x14ac:dyDescent="0.25">
      <c r="B108" s="1" t="s">
        <v>48</v>
      </c>
      <c r="C108" s="2" t="s">
        <v>32</v>
      </c>
      <c r="D108" s="15"/>
      <c r="E108" s="15"/>
      <c r="F108" s="15"/>
      <c r="G108" s="2" t="s">
        <v>5</v>
      </c>
      <c r="H108" s="18">
        <v>1</v>
      </c>
    </row>
    <row r="109" spans="2:8" x14ac:dyDescent="0.25">
      <c r="B109" s="6" t="s">
        <v>23</v>
      </c>
      <c r="C109" s="7"/>
      <c r="D109" s="19"/>
      <c r="E109" s="19"/>
      <c r="F109" s="19"/>
      <c r="G109" s="7"/>
      <c r="H109" s="20">
        <f>SUM(H98:H108)</f>
        <v>15</v>
      </c>
    </row>
    <row r="111" spans="2:8" x14ac:dyDescent="0.25">
      <c r="B111" s="4"/>
      <c r="C111" s="5" t="s">
        <v>33</v>
      </c>
      <c r="D111" s="21"/>
      <c r="E111" s="21"/>
      <c r="F111" s="21"/>
      <c r="G111" s="5" t="s">
        <v>5</v>
      </c>
      <c r="H111" s="17" t="s">
        <v>6</v>
      </c>
    </row>
    <row r="112" spans="2:8" x14ac:dyDescent="0.25">
      <c r="B112" s="1" t="s">
        <v>41</v>
      </c>
      <c r="C112" s="2" t="s">
        <v>34</v>
      </c>
      <c r="D112" s="15"/>
      <c r="E112" s="15"/>
      <c r="F112" s="15"/>
      <c r="G112" s="2" t="s">
        <v>5</v>
      </c>
      <c r="H112" s="18">
        <v>1</v>
      </c>
    </row>
    <row r="113" spans="2:8" x14ac:dyDescent="0.25">
      <c r="B113" s="1"/>
      <c r="C113" s="2"/>
      <c r="D113" s="15"/>
      <c r="E113" s="15"/>
      <c r="F113" s="15"/>
      <c r="G113" s="2"/>
      <c r="H113" s="18"/>
    </row>
    <row r="114" spans="2:8" x14ac:dyDescent="0.25">
      <c r="B114" s="23" t="s">
        <v>42</v>
      </c>
      <c r="C114" s="12" t="s">
        <v>34</v>
      </c>
      <c r="D114" s="26"/>
      <c r="E114" s="26"/>
      <c r="F114" s="26"/>
      <c r="G114" s="12" t="s">
        <v>5</v>
      </c>
      <c r="H114" s="31">
        <v>2</v>
      </c>
    </row>
    <row r="115" spans="2:8" x14ac:dyDescent="0.25">
      <c r="B115" s="1"/>
      <c r="C115" s="2"/>
      <c r="D115" s="15"/>
      <c r="E115" s="15"/>
      <c r="F115" s="15"/>
      <c r="G115" s="2"/>
      <c r="H115" s="18"/>
    </row>
    <row r="116" spans="2:8" x14ac:dyDescent="0.25">
      <c r="B116" s="1" t="s">
        <v>47</v>
      </c>
      <c r="C116" s="2" t="s">
        <v>34</v>
      </c>
      <c r="D116" s="15"/>
      <c r="E116" s="15"/>
      <c r="F116" s="15"/>
      <c r="G116" s="2" t="s">
        <v>5</v>
      </c>
      <c r="H116" s="18">
        <v>3</v>
      </c>
    </row>
    <row r="117" spans="2:8" x14ac:dyDescent="0.25">
      <c r="B117" s="1"/>
      <c r="C117" s="2"/>
      <c r="D117" s="15"/>
      <c r="E117" s="15"/>
      <c r="F117" s="15"/>
      <c r="G117" s="2"/>
      <c r="H117" s="18"/>
    </row>
    <row r="118" spans="2:8" x14ac:dyDescent="0.25">
      <c r="B118" s="1" t="s">
        <v>48</v>
      </c>
      <c r="C118" s="2" t="s">
        <v>34</v>
      </c>
      <c r="D118" s="15"/>
      <c r="E118" s="15"/>
      <c r="F118" s="15"/>
      <c r="G118" s="2" t="s">
        <v>5</v>
      </c>
      <c r="H118" s="18">
        <v>1</v>
      </c>
    </row>
    <row r="119" spans="2:8" x14ac:dyDescent="0.25">
      <c r="B119" s="6" t="s">
        <v>23</v>
      </c>
      <c r="C119" s="7"/>
      <c r="D119" s="19"/>
      <c r="E119" s="19"/>
      <c r="F119" s="19"/>
      <c r="G119" s="7"/>
      <c r="H119" s="20">
        <f>SUM(H112:H118)</f>
        <v>7</v>
      </c>
    </row>
    <row r="121" spans="2:8" x14ac:dyDescent="0.25">
      <c r="B121" s="4"/>
      <c r="C121" s="5" t="s">
        <v>35</v>
      </c>
      <c r="D121" s="21"/>
      <c r="E121" s="21"/>
      <c r="F121" s="21"/>
      <c r="G121" s="5" t="s">
        <v>5</v>
      </c>
      <c r="H121" s="17" t="s">
        <v>6</v>
      </c>
    </row>
    <row r="122" spans="2:8" x14ac:dyDescent="0.25">
      <c r="B122" s="1" t="s">
        <v>41</v>
      </c>
      <c r="C122" s="2" t="s">
        <v>36</v>
      </c>
      <c r="D122" s="15"/>
      <c r="E122" s="15"/>
      <c r="F122" s="15"/>
      <c r="G122" s="2" t="s">
        <v>5</v>
      </c>
      <c r="H122" s="18">
        <v>1</v>
      </c>
    </row>
    <row r="123" spans="2:8" x14ac:dyDescent="0.25">
      <c r="B123" s="6" t="s">
        <v>23</v>
      </c>
      <c r="C123" s="7"/>
      <c r="D123" s="19"/>
      <c r="E123" s="19"/>
      <c r="F123" s="19"/>
      <c r="G123" s="7"/>
      <c r="H123" s="20">
        <f>SUM(H122:H122)</f>
        <v>1</v>
      </c>
    </row>
    <row r="125" spans="2:8" x14ac:dyDescent="0.25">
      <c r="B125" s="4"/>
      <c r="C125" s="5" t="s">
        <v>37</v>
      </c>
      <c r="D125" s="21"/>
      <c r="E125" s="21"/>
      <c r="F125" s="21"/>
      <c r="G125" s="5" t="s">
        <v>5</v>
      </c>
      <c r="H125" s="17" t="s">
        <v>6</v>
      </c>
    </row>
    <row r="126" spans="2:8" x14ac:dyDescent="0.25">
      <c r="B126" s="23" t="s">
        <v>46</v>
      </c>
      <c r="C126" s="2" t="s">
        <v>38</v>
      </c>
      <c r="D126" s="15"/>
      <c r="E126" s="15"/>
      <c r="F126" s="15"/>
      <c r="G126" s="2" t="s">
        <v>5</v>
      </c>
      <c r="H126" s="18">
        <v>1</v>
      </c>
    </row>
    <row r="127" spans="2:8" x14ac:dyDescent="0.25">
      <c r="B127" s="23"/>
      <c r="C127" s="2"/>
      <c r="D127" s="15"/>
      <c r="E127" s="15"/>
      <c r="F127" s="15"/>
      <c r="G127" s="2"/>
      <c r="H127" s="18"/>
    </row>
    <row r="128" spans="2:8" x14ac:dyDescent="0.25">
      <c r="B128" s="23" t="s">
        <v>40</v>
      </c>
      <c r="C128" s="2" t="s">
        <v>38</v>
      </c>
      <c r="D128" s="15"/>
      <c r="E128" s="15"/>
      <c r="F128" s="15"/>
      <c r="G128" s="2" t="s">
        <v>5</v>
      </c>
      <c r="H128" s="18">
        <v>1</v>
      </c>
    </row>
    <row r="129" spans="2:8" x14ac:dyDescent="0.25">
      <c r="B129" s="23"/>
      <c r="C129" s="2"/>
      <c r="D129" s="15"/>
      <c r="E129" s="15"/>
      <c r="F129" s="15"/>
      <c r="G129" s="2"/>
      <c r="H129" s="18"/>
    </row>
    <row r="130" spans="2:8" x14ac:dyDescent="0.25">
      <c r="B130" s="23" t="s">
        <v>41</v>
      </c>
      <c r="C130" s="2" t="s">
        <v>38</v>
      </c>
      <c r="D130" s="15"/>
      <c r="E130" s="15"/>
      <c r="F130" s="15"/>
      <c r="G130" s="2" t="s">
        <v>5</v>
      </c>
      <c r="H130" s="18">
        <v>2</v>
      </c>
    </row>
    <row r="131" spans="2:8" x14ac:dyDescent="0.25">
      <c r="B131" s="23"/>
      <c r="C131" s="2"/>
      <c r="D131" s="15"/>
      <c r="E131" s="15"/>
      <c r="F131" s="15"/>
      <c r="G131" s="2"/>
      <c r="H131" s="18"/>
    </row>
    <row r="132" spans="2:8" x14ac:dyDescent="0.25">
      <c r="B132" s="23" t="s">
        <v>42</v>
      </c>
      <c r="C132" s="2" t="s">
        <v>38</v>
      </c>
      <c r="D132" s="15"/>
      <c r="E132" s="15"/>
      <c r="F132" s="15"/>
      <c r="G132" s="2" t="s">
        <v>5</v>
      </c>
      <c r="H132" s="18">
        <v>3</v>
      </c>
    </row>
    <row r="133" spans="2:8" x14ac:dyDescent="0.25">
      <c r="B133" s="23"/>
      <c r="C133" s="2"/>
      <c r="D133" s="15"/>
      <c r="E133" s="15"/>
      <c r="F133" s="15"/>
      <c r="G133" s="2"/>
      <c r="H133" s="18"/>
    </row>
    <row r="134" spans="2:8" x14ac:dyDescent="0.25">
      <c r="B134" s="23" t="s">
        <v>47</v>
      </c>
      <c r="C134" s="2" t="s">
        <v>38</v>
      </c>
      <c r="D134" s="15"/>
      <c r="E134" s="15"/>
      <c r="F134" s="15"/>
      <c r="G134" s="2" t="s">
        <v>5</v>
      </c>
      <c r="H134" s="18">
        <v>4</v>
      </c>
    </row>
    <row r="135" spans="2:8" x14ac:dyDescent="0.25">
      <c r="B135" s="23"/>
      <c r="C135" s="2"/>
      <c r="D135" s="15"/>
      <c r="E135" s="15"/>
      <c r="F135" s="15"/>
      <c r="G135" s="2"/>
      <c r="H135" s="18"/>
    </row>
    <row r="136" spans="2:8" x14ac:dyDescent="0.25">
      <c r="B136" s="23" t="s">
        <v>48</v>
      </c>
      <c r="C136" s="2" t="s">
        <v>38</v>
      </c>
      <c r="D136" s="15"/>
      <c r="E136" s="15"/>
      <c r="F136" s="15"/>
      <c r="G136" s="2" t="s">
        <v>5</v>
      </c>
      <c r="H136" s="18">
        <v>2</v>
      </c>
    </row>
    <row r="137" spans="2:8" x14ac:dyDescent="0.25">
      <c r="B137" s="6" t="s">
        <v>23</v>
      </c>
      <c r="C137" s="7"/>
      <c r="D137" s="19"/>
      <c r="E137" s="19"/>
      <c r="F137" s="19"/>
      <c r="G137" s="7"/>
      <c r="H137" s="20">
        <f>SUM(H126:H136)</f>
        <v>13</v>
      </c>
    </row>
    <row r="139" spans="2:8" x14ac:dyDescent="0.25">
      <c r="B139" s="4"/>
      <c r="C139" s="5" t="s">
        <v>52</v>
      </c>
      <c r="D139" s="21"/>
      <c r="E139" s="21"/>
      <c r="F139" s="21"/>
      <c r="G139" s="5" t="s">
        <v>5</v>
      </c>
      <c r="H139" s="17" t="s">
        <v>6</v>
      </c>
    </row>
    <row r="140" spans="2:8" x14ac:dyDescent="0.25">
      <c r="B140" s="23" t="s">
        <v>41</v>
      </c>
      <c r="C140" s="2" t="s">
        <v>53</v>
      </c>
      <c r="D140" s="15"/>
      <c r="E140" s="15"/>
      <c r="F140" s="15"/>
      <c r="G140" s="2" t="s">
        <v>5</v>
      </c>
      <c r="H140" s="18">
        <v>2</v>
      </c>
    </row>
    <row r="141" spans="2:8" x14ac:dyDescent="0.25">
      <c r="B141" s="23"/>
      <c r="C141" s="2"/>
      <c r="D141" s="15"/>
      <c r="E141" s="15"/>
      <c r="F141" s="15"/>
      <c r="G141" s="2"/>
      <c r="H141" s="18"/>
    </row>
    <row r="142" spans="2:8" x14ac:dyDescent="0.25">
      <c r="B142" s="23" t="s">
        <v>42</v>
      </c>
      <c r="C142" s="2" t="s">
        <v>53</v>
      </c>
      <c r="D142" s="15"/>
      <c r="E142" s="15"/>
      <c r="F142" s="15"/>
      <c r="G142" s="2" t="s">
        <v>5</v>
      </c>
      <c r="H142" s="18">
        <v>2</v>
      </c>
    </row>
    <row r="143" spans="2:8" x14ac:dyDescent="0.25">
      <c r="B143" s="23"/>
      <c r="C143" s="2"/>
      <c r="D143" s="15"/>
      <c r="E143" s="15"/>
      <c r="F143" s="15"/>
      <c r="G143" s="2"/>
      <c r="H143" s="18"/>
    </row>
    <row r="144" spans="2:8" x14ac:dyDescent="0.25">
      <c r="B144" s="23" t="s">
        <v>49</v>
      </c>
      <c r="C144" s="2" t="s">
        <v>53</v>
      </c>
      <c r="D144" s="15"/>
      <c r="E144" s="15"/>
      <c r="F144" s="15"/>
      <c r="G144" s="2" t="s">
        <v>5</v>
      </c>
      <c r="H144" s="18">
        <v>1</v>
      </c>
    </row>
    <row r="145" spans="2:8" x14ac:dyDescent="0.25">
      <c r="B145" s="23"/>
      <c r="C145" s="2"/>
      <c r="D145" s="15"/>
      <c r="E145" s="15"/>
      <c r="F145" s="15"/>
      <c r="G145" s="2"/>
      <c r="H145" s="18"/>
    </row>
    <row r="146" spans="2:8" x14ac:dyDescent="0.25">
      <c r="B146" s="23" t="s">
        <v>50</v>
      </c>
      <c r="C146" s="2" t="s">
        <v>53</v>
      </c>
      <c r="D146" s="15"/>
      <c r="E146" s="15"/>
      <c r="F146" s="15"/>
      <c r="G146" s="2" t="s">
        <v>5</v>
      </c>
      <c r="H146" s="18">
        <v>1</v>
      </c>
    </row>
    <row r="147" spans="2:8" x14ac:dyDescent="0.25">
      <c r="B147" s="23"/>
      <c r="C147" s="2"/>
      <c r="D147" s="15"/>
      <c r="E147" s="15"/>
      <c r="F147" s="15"/>
      <c r="G147" s="2"/>
      <c r="H147" s="18"/>
    </row>
    <row r="148" spans="2:8" x14ac:dyDescent="0.25">
      <c r="B148" s="23" t="s">
        <v>47</v>
      </c>
      <c r="C148" s="2" t="s">
        <v>53</v>
      </c>
      <c r="D148" s="15"/>
      <c r="E148" s="15"/>
      <c r="F148" s="15"/>
      <c r="G148" s="2" t="s">
        <v>5</v>
      </c>
      <c r="H148" s="18">
        <v>2</v>
      </c>
    </row>
    <row r="149" spans="2:8" x14ac:dyDescent="0.25">
      <c r="B149" s="6" t="s">
        <v>23</v>
      </c>
      <c r="C149" s="7"/>
      <c r="D149" s="19"/>
      <c r="E149" s="19"/>
      <c r="F149" s="19"/>
      <c r="G149" s="7"/>
      <c r="H149" s="20">
        <f>SUM(H140:H148)</f>
        <v>8</v>
      </c>
    </row>
    <row r="151" spans="2:8" x14ac:dyDescent="0.25">
      <c r="B151" s="4"/>
      <c r="C151" s="5" t="s">
        <v>39</v>
      </c>
      <c r="D151" s="21"/>
      <c r="E151" s="21"/>
      <c r="F151" s="21"/>
      <c r="G151" s="5" t="s">
        <v>5</v>
      </c>
      <c r="H151" s="17" t="s">
        <v>6</v>
      </c>
    </row>
    <row r="152" spans="2:8" x14ac:dyDescent="0.25">
      <c r="B152" s="23" t="s">
        <v>46</v>
      </c>
      <c r="C152" s="2" t="s">
        <v>39</v>
      </c>
      <c r="D152" s="15"/>
      <c r="E152" s="15"/>
      <c r="F152" s="15"/>
      <c r="G152" s="2" t="s">
        <v>5</v>
      </c>
      <c r="H152" s="18">
        <v>6</v>
      </c>
    </row>
    <row r="153" spans="2:8" x14ac:dyDescent="0.25">
      <c r="B153" s="23"/>
      <c r="C153" s="2"/>
      <c r="D153" s="15"/>
      <c r="E153" s="15"/>
      <c r="F153" s="15"/>
      <c r="G153" s="2"/>
      <c r="H153" s="18"/>
    </row>
    <row r="154" spans="2:8" x14ac:dyDescent="0.25">
      <c r="B154" s="23" t="s">
        <v>40</v>
      </c>
      <c r="C154" s="2" t="s">
        <v>39</v>
      </c>
      <c r="D154" s="15"/>
      <c r="E154" s="15"/>
      <c r="F154" s="15"/>
      <c r="G154" s="2" t="s">
        <v>5</v>
      </c>
      <c r="H154" s="18">
        <v>15</v>
      </c>
    </row>
    <row r="155" spans="2:8" x14ac:dyDescent="0.25">
      <c r="B155" s="23"/>
      <c r="C155" s="2"/>
      <c r="D155" s="15"/>
      <c r="E155" s="15"/>
      <c r="F155" s="15"/>
      <c r="G155" s="2"/>
      <c r="H155" s="18"/>
    </row>
    <row r="156" spans="2:8" x14ac:dyDescent="0.25">
      <c r="B156" s="23" t="s">
        <v>41</v>
      </c>
      <c r="C156" s="2" t="s">
        <v>39</v>
      </c>
      <c r="D156" s="15"/>
      <c r="E156" s="15"/>
      <c r="F156" s="15"/>
      <c r="G156" s="2" t="s">
        <v>5</v>
      </c>
      <c r="H156" s="18">
        <v>25</v>
      </c>
    </row>
    <row r="157" spans="2:8" x14ac:dyDescent="0.25">
      <c r="B157" s="23"/>
      <c r="C157" s="2"/>
      <c r="D157" s="15"/>
      <c r="E157" s="15"/>
      <c r="F157" s="15"/>
      <c r="G157" s="2"/>
      <c r="H157" s="18"/>
    </row>
    <row r="158" spans="2:8" x14ac:dyDescent="0.25">
      <c r="B158" s="23" t="s">
        <v>42</v>
      </c>
      <c r="C158" s="2" t="s">
        <v>39</v>
      </c>
      <c r="D158" s="15"/>
      <c r="E158" s="15"/>
      <c r="F158" s="15"/>
      <c r="G158" s="2" t="s">
        <v>5</v>
      </c>
      <c r="H158" s="18">
        <v>26</v>
      </c>
    </row>
    <row r="159" spans="2:8" x14ac:dyDescent="0.25">
      <c r="B159" s="23"/>
      <c r="C159" s="2"/>
      <c r="D159" s="15"/>
      <c r="E159" s="15"/>
      <c r="F159" s="15"/>
      <c r="G159" s="2"/>
      <c r="H159" s="18"/>
    </row>
    <row r="160" spans="2:8" x14ac:dyDescent="0.25">
      <c r="B160" s="23" t="s">
        <v>49</v>
      </c>
      <c r="C160" s="2" t="s">
        <v>39</v>
      </c>
      <c r="D160" s="15"/>
      <c r="E160" s="15"/>
      <c r="F160" s="15"/>
      <c r="G160" s="2" t="s">
        <v>5</v>
      </c>
      <c r="H160" s="18">
        <v>18</v>
      </c>
    </row>
    <row r="161" spans="2:8" x14ac:dyDescent="0.25">
      <c r="B161" s="23"/>
      <c r="C161" s="2"/>
      <c r="D161" s="15"/>
      <c r="E161" s="15"/>
      <c r="F161" s="15"/>
      <c r="G161" s="2"/>
      <c r="H161" s="18"/>
    </row>
    <row r="162" spans="2:8" x14ac:dyDescent="0.25">
      <c r="B162" s="23" t="s">
        <v>50</v>
      </c>
      <c r="C162" s="2" t="s">
        <v>39</v>
      </c>
      <c r="D162" s="15"/>
      <c r="E162" s="15"/>
      <c r="F162" s="15"/>
      <c r="G162" s="2" t="s">
        <v>5</v>
      </c>
      <c r="H162" s="18">
        <v>15</v>
      </c>
    </row>
    <row r="163" spans="2:8" x14ac:dyDescent="0.25">
      <c r="B163" s="23"/>
      <c r="C163" s="2"/>
      <c r="D163" s="15"/>
      <c r="E163" s="15"/>
      <c r="F163" s="15"/>
      <c r="G163" s="2"/>
      <c r="H163" s="18"/>
    </row>
    <row r="164" spans="2:8" x14ac:dyDescent="0.25">
      <c r="B164" s="23" t="s">
        <v>47</v>
      </c>
      <c r="C164" s="2" t="s">
        <v>39</v>
      </c>
      <c r="D164" s="15"/>
      <c r="E164" s="15"/>
      <c r="F164" s="15"/>
      <c r="G164" s="2" t="s">
        <v>5</v>
      </c>
      <c r="H164" s="18">
        <v>27</v>
      </c>
    </row>
    <row r="165" spans="2:8" x14ac:dyDescent="0.25">
      <c r="B165" s="1"/>
      <c r="C165" s="2"/>
      <c r="D165" s="15"/>
      <c r="E165" s="15"/>
      <c r="F165" s="15"/>
      <c r="G165" s="2"/>
      <c r="H165" s="18"/>
    </row>
    <row r="166" spans="2:8" x14ac:dyDescent="0.25">
      <c r="B166" s="1" t="s">
        <v>48</v>
      </c>
      <c r="C166" s="2" t="s">
        <v>39</v>
      </c>
      <c r="D166" s="15"/>
      <c r="E166" s="15"/>
      <c r="F166" s="15"/>
      <c r="G166" s="2" t="s">
        <v>5</v>
      </c>
      <c r="H166" s="18">
        <v>6</v>
      </c>
    </row>
    <row r="167" spans="2:8" x14ac:dyDescent="0.25">
      <c r="B167" s="6" t="s">
        <v>23</v>
      </c>
      <c r="C167" s="7"/>
      <c r="D167" s="19"/>
      <c r="E167" s="19"/>
      <c r="F167" s="19"/>
      <c r="G167" s="7"/>
      <c r="H167" s="20">
        <f>SUM(H152:H166)</f>
        <v>138</v>
      </c>
    </row>
    <row r="169" spans="2:8" x14ac:dyDescent="0.25">
      <c r="B169" s="4"/>
      <c r="C169" s="5" t="s">
        <v>54</v>
      </c>
      <c r="D169" s="16" t="s">
        <v>3</v>
      </c>
      <c r="E169" s="16" t="s">
        <v>4</v>
      </c>
      <c r="F169" s="16" t="s">
        <v>55</v>
      </c>
      <c r="G169" s="5" t="s">
        <v>5</v>
      </c>
      <c r="H169" s="17" t="s">
        <v>6</v>
      </c>
    </row>
    <row r="170" spans="2:8" x14ac:dyDescent="0.25">
      <c r="B170" s="11" t="s">
        <v>46</v>
      </c>
      <c r="C170" s="27" t="s">
        <v>62</v>
      </c>
      <c r="D170" s="28">
        <v>23.79</v>
      </c>
      <c r="E170" s="29">
        <v>3.77</v>
      </c>
      <c r="F170" s="28">
        <f>1.1*2.1</f>
        <v>2.3100000000000005</v>
      </c>
      <c r="G170" s="27" t="s">
        <v>10</v>
      </c>
      <c r="H170" s="32">
        <f>D170*E170-F170</f>
        <v>87.378299999999996</v>
      </c>
    </row>
    <row r="171" spans="2:8" x14ac:dyDescent="0.25">
      <c r="B171" s="11"/>
      <c r="C171" s="10"/>
      <c r="D171" s="28"/>
      <c r="E171" s="30"/>
      <c r="F171" s="28"/>
      <c r="G171" s="10"/>
      <c r="H171" s="33"/>
    </row>
    <row r="172" spans="2:8" x14ac:dyDescent="0.25">
      <c r="B172" s="11" t="s">
        <v>40</v>
      </c>
      <c r="C172" s="27" t="s">
        <v>62</v>
      </c>
      <c r="D172" s="28">
        <v>34.51</v>
      </c>
      <c r="E172" s="29">
        <v>3.77</v>
      </c>
      <c r="F172" s="28">
        <f>(1.3*2.5)+(2.3*1)+(1.1*2.1)+(1*2.1)</f>
        <v>9.9600000000000009</v>
      </c>
      <c r="G172" s="27" t="s">
        <v>10</v>
      </c>
      <c r="H172" s="32">
        <f>D172*E172-F172</f>
        <v>120.14269999999999</v>
      </c>
    </row>
    <row r="173" spans="2:8" x14ac:dyDescent="0.25">
      <c r="B173" s="11"/>
      <c r="C173" s="10"/>
      <c r="D173" s="28"/>
      <c r="E173" s="30"/>
      <c r="F173" s="28"/>
      <c r="G173" s="10"/>
      <c r="H173" s="33"/>
    </row>
    <row r="174" spans="2:8" x14ac:dyDescent="0.25">
      <c r="B174" s="23" t="s">
        <v>41</v>
      </c>
      <c r="C174" s="27" t="s">
        <v>62</v>
      </c>
      <c r="D174" s="28">
        <v>38.46</v>
      </c>
      <c r="E174" s="29">
        <v>3.77</v>
      </c>
      <c r="F174" s="28">
        <f>(1.25*2.5*2)+(2.2*1)+(2.3*1)+(1.22*2.1)+(1.27*2.1)</f>
        <v>15.978999999999999</v>
      </c>
      <c r="G174" s="27" t="s">
        <v>10</v>
      </c>
      <c r="H174" s="32">
        <f>D174*E174-F174</f>
        <v>129.01519999999999</v>
      </c>
    </row>
    <row r="175" spans="2:8" x14ac:dyDescent="0.25">
      <c r="B175" s="23"/>
      <c r="C175" s="2"/>
      <c r="D175" s="28"/>
      <c r="E175" s="29"/>
      <c r="F175" s="28"/>
      <c r="G175" s="2"/>
      <c r="H175" s="18"/>
    </row>
    <row r="176" spans="2:8" x14ac:dyDescent="0.25">
      <c r="B176" s="23" t="s">
        <v>42</v>
      </c>
      <c r="C176" s="27" t="s">
        <v>62</v>
      </c>
      <c r="D176" s="28">
        <v>35.840000000000003</v>
      </c>
      <c r="E176" s="29">
        <v>3.77</v>
      </c>
      <c r="F176" s="28">
        <f>(1.28*2.5)+(1.1*2.5)+(2.37*1)+(1.23*2.1)</f>
        <v>10.903</v>
      </c>
      <c r="G176" s="27" t="s">
        <v>10</v>
      </c>
      <c r="H176" s="32">
        <f>D176*E176-F176</f>
        <v>124.21380000000001</v>
      </c>
    </row>
    <row r="177" spans="2:8" x14ac:dyDescent="0.25">
      <c r="B177" s="23"/>
      <c r="C177" s="2"/>
      <c r="D177" s="28"/>
      <c r="E177" s="29"/>
      <c r="F177" s="28"/>
      <c r="G177" s="2"/>
      <c r="H177" s="18"/>
    </row>
    <row r="178" spans="2:8" x14ac:dyDescent="0.25">
      <c r="B178" s="23" t="s">
        <v>49</v>
      </c>
      <c r="C178" s="27" t="s">
        <v>62</v>
      </c>
      <c r="D178" s="28">
        <v>45.01</v>
      </c>
      <c r="E178" s="29">
        <v>3.77</v>
      </c>
      <c r="F178" s="28">
        <f>(1.24*2.5)+(1.23*2.1)</f>
        <v>5.6829999999999998</v>
      </c>
      <c r="G178" s="27" t="s">
        <v>10</v>
      </c>
      <c r="H178" s="32">
        <f>D178*E178-F178</f>
        <v>164.00470000000001</v>
      </c>
    </row>
    <row r="179" spans="2:8" x14ac:dyDescent="0.25">
      <c r="B179" s="23"/>
      <c r="C179" s="2"/>
      <c r="D179" s="28"/>
      <c r="E179" s="29"/>
      <c r="F179" s="28"/>
      <c r="G179" s="2"/>
      <c r="H179" s="18"/>
    </row>
    <row r="180" spans="2:8" x14ac:dyDescent="0.25">
      <c r="B180" s="23" t="s">
        <v>50</v>
      </c>
      <c r="C180" s="27" t="s">
        <v>62</v>
      </c>
      <c r="D180" s="28">
        <v>30.53</v>
      </c>
      <c r="E180" s="29">
        <v>3.77</v>
      </c>
      <c r="F180" s="28">
        <f>(1.12*2.5)+(1.24*2.1)</f>
        <v>5.4039999999999999</v>
      </c>
      <c r="G180" s="27" t="s">
        <v>10</v>
      </c>
      <c r="H180" s="32">
        <f>D180*E180-F180</f>
        <v>109.69410000000001</v>
      </c>
    </row>
    <row r="181" spans="2:8" x14ac:dyDescent="0.25">
      <c r="B181" s="23"/>
      <c r="C181" s="2"/>
      <c r="D181" s="28"/>
      <c r="E181" s="29"/>
      <c r="F181" s="28"/>
      <c r="G181" s="2"/>
      <c r="H181" s="18"/>
    </row>
    <row r="182" spans="2:8" x14ac:dyDescent="0.25">
      <c r="B182" s="23" t="s">
        <v>47</v>
      </c>
      <c r="C182" s="27" t="s">
        <v>62</v>
      </c>
      <c r="D182" s="28">
        <v>43</v>
      </c>
      <c r="E182" s="29">
        <v>3.77</v>
      </c>
      <c r="F182" s="28">
        <f>(1.05*2.1)+(1.38*2.1)+(1.19*2.1)</f>
        <v>7.6020000000000003</v>
      </c>
      <c r="G182" s="27" t="s">
        <v>10</v>
      </c>
      <c r="H182" s="32">
        <f>D182*E182-F182</f>
        <v>154.50800000000001</v>
      </c>
    </row>
    <row r="183" spans="2:8" x14ac:dyDescent="0.25">
      <c r="B183" s="1"/>
      <c r="C183" s="2"/>
      <c r="D183" s="28"/>
      <c r="E183" s="29"/>
      <c r="F183" s="28"/>
      <c r="G183" s="2"/>
      <c r="H183" s="18"/>
    </row>
    <row r="184" spans="2:8" x14ac:dyDescent="0.25">
      <c r="B184" s="1" t="s">
        <v>48</v>
      </c>
      <c r="C184" s="27" t="s">
        <v>62</v>
      </c>
      <c r="D184" s="28">
        <v>19.37</v>
      </c>
      <c r="E184" s="29">
        <v>3.77</v>
      </c>
      <c r="F184" s="28">
        <f>(1.05*2.1)+(1.38*2.1)+(1.19*2.1)+(0.98*2.1)</f>
        <v>9.66</v>
      </c>
      <c r="G184" s="27" t="s">
        <v>10</v>
      </c>
      <c r="H184" s="32">
        <f>D184*E184-F184</f>
        <v>63.364900000000006</v>
      </c>
    </row>
    <row r="185" spans="2:8" x14ac:dyDescent="0.25">
      <c r="B185" s="1"/>
      <c r="C185" s="2"/>
      <c r="D185" s="28"/>
      <c r="E185" s="29"/>
      <c r="F185" s="28"/>
      <c r="G185" s="27"/>
      <c r="H185" s="32"/>
    </row>
    <row r="186" spans="2:8" x14ac:dyDescent="0.25">
      <c r="B186" s="1" t="s">
        <v>63</v>
      </c>
      <c r="C186" s="2"/>
      <c r="D186" s="28">
        <v>22.39</v>
      </c>
      <c r="E186" s="29">
        <v>3.77</v>
      </c>
      <c r="F186" s="28">
        <f>(0.98*2.1)+(1.29*2.1)</f>
        <v>4.7669999999999995</v>
      </c>
      <c r="G186" s="27" t="s">
        <v>10</v>
      </c>
      <c r="H186" s="32">
        <f>D186*E186-F186</f>
        <v>79.643300000000011</v>
      </c>
    </row>
    <row r="187" spans="2:8" x14ac:dyDescent="0.25">
      <c r="B187" s="6" t="s">
        <v>23</v>
      </c>
      <c r="C187" s="7"/>
      <c r="D187" s="19"/>
      <c r="E187" s="19"/>
      <c r="F187" s="19"/>
      <c r="G187" s="7"/>
      <c r="H187" s="20">
        <f>SUM(H170:H186)</f>
        <v>1031.9650000000001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195"/>
  <sheetViews>
    <sheetView tabSelected="1" view="pageBreakPreview" topLeftCell="A6" zoomScale="90" zoomScaleNormal="80" zoomScaleSheetLayoutView="90" workbookViewId="0">
      <pane ySplit="7" topLeftCell="A13" activePane="bottomLeft" state="frozen"/>
      <selection activeCell="A6" sqref="A6"/>
      <selection pane="bottomLeft" activeCell="A10" sqref="A10:D10"/>
    </sheetView>
  </sheetViews>
  <sheetFormatPr defaultRowHeight="15" x14ac:dyDescent="0.25"/>
  <cols>
    <col min="1" max="1" width="6.42578125" style="35" customWidth="1"/>
    <col min="2" max="2" width="56.42578125" style="35" customWidth="1"/>
    <col min="3" max="3" width="18.85546875" style="35" bestFit="1" customWidth="1"/>
    <col min="4" max="4" width="15.42578125" style="193" customWidth="1"/>
    <col min="5" max="5" width="8.7109375" style="35" bestFit="1" customWidth="1"/>
    <col min="6" max="6" width="11.28515625" style="38" bestFit="1" customWidth="1"/>
    <col min="7" max="7" width="12" style="38" bestFit="1" customWidth="1"/>
    <col min="8" max="8" width="15.42578125" style="35" bestFit="1" customWidth="1"/>
    <col min="9" max="9" width="16.7109375" style="35" customWidth="1"/>
    <col min="10" max="10" width="15" style="35" bestFit="1" customWidth="1"/>
    <col min="11" max="11" width="13.140625" style="35" customWidth="1"/>
    <col min="12" max="12" width="14.5703125" style="35" customWidth="1"/>
    <col min="13" max="13" width="8.7109375" style="150" bestFit="1" customWidth="1"/>
    <col min="14" max="14" width="9.140625" style="35"/>
    <col min="15" max="15" width="33.7109375" style="35" customWidth="1"/>
    <col min="16" max="16" width="44" style="35" bestFit="1" customWidth="1"/>
    <col min="17" max="17" width="15.7109375" style="35" bestFit="1" customWidth="1"/>
    <col min="18" max="18" width="9.140625" style="35"/>
    <col min="19" max="19" width="11.42578125" style="35" bestFit="1" customWidth="1"/>
    <col min="20" max="20" width="9.140625" style="35"/>
    <col min="21" max="21" width="12.85546875" style="35" bestFit="1" customWidth="1"/>
    <col min="22" max="22" width="9.140625" style="35"/>
    <col min="23" max="23" width="12.5703125" style="35" bestFit="1" customWidth="1"/>
    <col min="24" max="24" width="9.140625" style="35"/>
    <col min="25" max="25" width="12.85546875" style="35" bestFit="1" customWidth="1"/>
    <col min="26" max="26" width="9.140625" style="35"/>
    <col min="27" max="27" width="14" style="35" bestFit="1" customWidth="1"/>
    <col min="28" max="28" width="9.140625" style="35"/>
    <col min="29" max="29" width="14" style="35" bestFit="1" customWidth="1"/>
    <col min="30" max="16384" width="9.140625" style="35"/>
  </cols>
  <sheetData>
    <row r="1" spans="1:29" x14ac:dyDescent="0.25">
      <c r="A1" s="54" t="s">
        <v>253</v>
      </c>
      <c r="B1" s="55"/>
      <c r="C1" s="55"/>
      <c r="D1" s="177"/>
      <c r="E1" s="56"/>
      <c r="F1" s="194"/>
      <c r="G1" s="195"/>
      <c r="H1" s="57"/>
      <c r="I1" s="57"/>
      <c r="J1" s="57"/>
      <c r="K1" s="57"/>
      <c r="L1" s="57"/>
      <c r="M1" s="58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x14ac:dyDescent="0.25">
      <c r="A2" s="60" t="s">
        <v>254</v>
      </c>
      <c r="B2" s="55"/>
      <c r="C2" s="55"/>
      <c r="D2" s="177"/>
      <c r="E2" s="57"/>
      <c r="F2" s="195"/>
      <c r="G2" s="195"/>
      <c r="H2" s="57"/>
      <c r="I2" s="57"/>
      <c r="J2" s="57"/>
      <c r="K2" s="57"/>
      <c r="L2" s="57"/>
      <c r="M2" s="58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</row>
    <row r="3" spans="1:29" x14ac:dyDescent="0.25">
      <c r="A3" s="60"/>
      <c r="B3" s="55"/>
      <c r="C3" s="55"/>
      <c r="D3" s="177"/>
      <c r="E3" s="57"/>
      <c r="F3" s="195"/>
      <c r="G3" s="195"/>
      <c r="H3" s="57"/>
      <c r="I3" s="57"/>
      <c r="J3" s="57"/>
      <c r="K3" s="57"/>
      <c r="L3" s="57"/>
      <c r="M3" s="58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29" x14ac:dyDescent="0.25">
      <c r="A4" s="493" t="s">
        <v>614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61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29" x14ac:dyDescent="0.25">
      <c r="A5" s="62"/>
      <c r="B5" s="62"/>
      <c r="C5" s="62"/>
      <c r="D5" s="178"/>
      <c r="E5" s="62"/>
      <c r="F5" s="196"/>
      <c r="G5" s="196"/>
      <c r="H5" s="62"/>
      <c r="I5" s="62"/>
      <c r="J5" s="62"/>
      <c r="K5" s="62"/>
      <c r="L5" s="62"/>
      <c r="M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</row>
    <row r="6" spans="1:29" x14ac:dyDescent="0.25">
      <c r="A6" s="224" t="s">
        <v>458</v>
      </c>
      <c r="B6" s="225"/>
      <c r="C6" s="226"/>
      <c r="D6" s="225"/>
      <c r="E6" s="62"/>
      <c r="F6" s="196"/>
      <c r="G6" s="196"/>
      <c r="H6" s="62"/>
      <c r="I6" s="62"/>
      <c r="J6" s="62"/>
      <c r="K6" s="62"/>
      <c r="L6" s="62"/>
      <c r="M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1:29" x14ac:dyDescent="0.25">
      <c r="A7" s="224" t="s">
        <v>451</v>
      </c>
      <c r="B7" s="225"/>
      <c r="C7" s="226"/>
      <c r="D7" s="225"/>
      <c r="E7" s="62"/>
      <c r="F7" s="196"/>
      <c r="G7" s="196"/>
      <c r="H7" s="62"/>
      <c r="I7" s="62"/>
      <c r="J7" s="62"/>
      <c r="K7" s="62"/>
      <c r="L7" s="62"/>
      <c r="M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x14ac:dyDescent="0.25">
      <c r="A8" s="224" t="s">
        <v>452</v>
      </c>
      <c r="B8" s="225"/>
      <c r="C8" s="226"/>
      <c r="D8" s="225"/>
      <c r="E8" s="62"/>
      <c r="F8" s="196"/>
      <c r="G8" s="196"/>
      <c r="H8" s="62"/>
      <c r="I8" s="62"/>
      <c r="J8" s="62"/>
      <c r="K8" s="62"/>
      <c r="L8" s="62"/>
      <c r="M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29" x14ac:dyDescent="0.25">
      <c r="A9" s="224"/>
      <c r="B9" s="225"/>
      <c r="C9" s="226"/>
      <c r="D9" s="225"/>
      <c r="E9" s="62"/>
      <c r="F9" s="196"/>
      <c r="G9" s="196"/>
      <c r="H9" s="62"/>
      <c r="I9" s="62"/>
      <c r="J9" s="62"/>
      <c r="K9" s="62"/>
      <c r="L9" s="62"/>
      <c r="M9" s="61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</row>
    <row r="10" spans="1:29" ht="62.25" customHeight="1" x14ac:dyDescent="0.25">
      <c r="A10" s="495" t="s">
        <v>615</v>
      </c>
      <c r="B10" s="495"/>
      <c r="C10" s="495"/>
      <c r="D10" s="495"/>
      <c r="E10" s="62"/>
      <c r="F10" s="196"/>
      <c r="G10" s="196"/>
      <c r="H10" s="62"/>
      <c r="I10" s="62"/>
      <c r="J10" s="62"/>
      <c r="K10" s="62"/>
      <c r="L10" s="62"/>
      <c r="M10" s="61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 x14ac:dyDescent="0.25">
      <c r="A11" s="62"/>
      <c r="B11" s="62"/>
      <c r="C11" s="62"/>
      <c r="D11" s="178"/>
      <c r="E11" s="62"/>
      <c r="F11" s="196"/>
      <c r="G11" s="196"/>
      <c r="H11" s="62"/>
      <c r="I11" s="62"/>
      <c r="J11" s="62"/>
      <c r="K11" s="62"/>
      <c r="L11" s="62"/>
      <c r="M11" s="61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1:29" ht="114" x14ac:dyDescent="0.25">
      <c r="A12" s="63" t="s">
        <v>255</v>
      </c>
      <c r="B12" s="63" t="s">
        <v>256</v>
      </c>
      <c r="C12" s="63" t="s">
        <v>257</v>
      </c>
      <c r="D12" s="179" t="s">
        <v>258</v>
      </c>
      <c r="E12" s="63" t="s">
        <v>259</v>
      </c>
      <c r="F12" s="197" t="s">
        <v>260</v>
      </c>
      <c r="G12" s="211" t="s">
        <v>261</v>
      </c>
      <c r="H12" s="64" t="s">
        <v>262</v>
      </c>
      <c r="I12" s="65" t="s">
        <v>263</v>
      </c>
      <c r="J12" s="65" t="s">
        <v>264</v>
      </c>
      <c r="K12" s="65" t="s">
        <v>265</v>
      </c>
      <c r="L12" s="65" t="s">
        <v>266</v>
      </c>
      <c r="M12" s="66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</row>
    <row r="13" spans="1:29" x14ac:dyDescent="0.25">
      <c r="A13" s="67" t="s">
        <v>267</v>
      </c>
      <c r="B13" s="68" t="s">
        <v>268</v>
      </c>
      <c r="C13" s="68"/>
      <c r="D13" s="180"/>
      <c r="E13" s="69"/>
      <c r="F13" s="198"/>
      <c r="G13" s="212"/>
      <c r="H13" s="71">
        <f>SUM(H14:H16)</f>
        <v>5877.1620000000003</v>
      </c>
      <c r="I13" s="72">
        <f>IF(L13=0,0,(L13/H13-1))</f>
        <v>0</v>
      </c>
      <c r="J13" s="70"/>
      <c r="K13" s="70"/>
      <c r="L13" s="70">
        <f>SUM(K14:K16)</f>
        <v>0</v>
      </c>
      <c r="M13" s="73">
        <f>H13/$H$167</f>
        <v>1.0636401492608215E-2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</row>
    <row r="14" spans="1:29" ht="16.5" x14ac:dyDescent="0.25">
      <c r="A14" s="74" t="s">
        <v>269</v>
      </c>
      <c r="B14" s="75" t="s">
        <v>270</v>
      </c>
      <c r="C14" s="76" t="s">
        <v>271</v>
      </c>
      <c r="D14" s="181">
        <v>7325</v>
      </c>
      <c r="E14" s="77" t="s">
        <v>272</v>
      </c>
      <c r="F14" s="199">
        <v>2368.33</v>
      </c>
      <c r="G14" s="205">
        <v>0.5</v>
      </c>
      <c r="H14" s="78">
        <f t="shared" ref="H14:H16" si="0">F14*G14</f>
        <v>1184.165</v>
      </c>
      <c r="I14" s="79">
        <f>IF(J14="",0,(J14/G14-1))</f>
        <v>0</v>
      </c>
      <c r="J14" s="80"/>
      <c r="K14" s="81">
        <f>J14*F14</f>
        <v>0</v>
      </c>
      <c r="L14" s="455"/>
      <c r="M14" s="73">
        <f>H14/$H$167</f>
        <v>2.1430844297799529E-3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</row>
    <row r="15" spans="1:29" x14ac:dyDescent="0.25">
      <c r="A15" s="74" t="s">
        <v>620</v>
      </c>
      <c r="B15" s="75" t="s">
        <v>622</v>
      </c>
      <c r="C15" s="76" t="s">
        <v>271</v>
      </c>
      <c r="D15" s="181" t="s">
        <v>621</v>
      </c>
      <c r="E15" s="77" t="s">
        <v>10</v>
      </c>
      <c r="F15" s="199">
        <v>2368.33</v>
      </c>
      <c r="G15" s="205">
        <v>1.5</v>
      </c>
      <c r="H15" s="78">
        <f t="shared" si="0"/>
        <v>3552.4949999999999</v>
      </c>
      <c r="I15" s="79">
        <f>IF(J15="",0,(J15/G15-1))</f>
        <v>0</v>
      </c>
      <c r="J15" s="80"/>
      <c r="K15" s="81"/>
      <c r="L15" s="456"/>
      <c r="M15" s="73">
        <f>H15/$H$167</f>
        <v>6.4292532893398579E-3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</row>
    <row r="16" spans="1:29" ht="16.5" x14ac:dyDescent="0.25">
      <c r="A16" s="74" t="s">
        <v>273</v>
      </c>
      <c r="B16" s="83" t="s">
        <v>274</v>
      </c>
      <c r="C16" s="84" t="s">
        <v>275</v>
      </c>
      <c r="D16" s="182" t="s">
        <v>276</v>
      </c>
      <c r="E16" s="77" t="s">
        <v>272</v>
      </c>
      <c r="F16" s="200">
        <v>4.7</v>
      </c>
      <c r="G16" s="213">
        <v>242.66</v>
      </c>
      <c r="H16" s="78">
        <f t="shared" si="0"/>
        <v>1140.502</v>
      </c>
      <c r="I16" s="79">
        <f>IF(J16="",0,(J16/G16-1))</f>
        <v>0</v>
      </c>
      <c r="J16" s="80"/>
      <c r="K16" s="81">
        <f>J16*F16</f>
        <v>0</v>
      </c>
      <c r="L16" s="477"/>
      <c r="M16" s="73">
        <f>H16/$H$167</f>
        <v>2.0640637734884036E-3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</row>
    <row r="17" spans="1:29" x14ac:dyDescent="0.25">
      <c r="A17" s="487"/>
      <c r="B17" s="488"/>
      <c r="C17" s="488"/>
      <c r="D17" s="488"/>
      <c r="E17" s="488"/>
      <c r="F17" s="488"/>
      <c r="G17" s="488"/>
      <c r="H17" s="488"/>
      <c r="I17" s="488"/>
      <c r="J17" s="488"/>
      <c r="K17" s="488"/>
      <c r="L17" s="489"/>
      <c r="M17" s="73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1:29" x14ac:dyDescent="0.25">
      <c r="A18" s="67" t="s">
        <v>277</v>
      </c>
      <c r="B18" s="85" t="s">
        <v>278</v>
      </c>
      <c r="C18" s="86"/>
      <c r="D18" s="183"/>
      <c r="E18" s="87"/>
      <c r="F18" s="201"/>
      <c r="G18" s="198"/>
      <c r="H18" s="71">
        <f>SUM(H19:H27)</f>
        <v>7196.5592999999999</v>
      </c>
      <c r="I18" s="72">
        <f>IF(L18=0,0,(L18/H18-1))</f>
        <v>0</v>
      </c>
      <c r="J18" s="70"/>
      <c r="K18" s="70"/>
      <c r="L18" s="70">
        <f>SUM(K19:K27)</f>
        <v>0</v>
      </c>
      <c r="M18" s="73">
        <f t="shared" ref="M18:M27" si="1">H18/$H$167</f>
        <v>1.3024227353297991E-2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</row>
    <row r="19" spans="1:29" x14ac:dyDescent="0.25">
      <c r="A19" s="88" t="s">
        <v>279</v>
      </c>
      <c r="B19" s="75" t="s">
        <v>103</v>
      </c>
      <c r="C19" s="84" t="s">
        <v>275</v>
      </c>
      <c r="D19" s="182">
        <v>73616</v>
      </c>
      <c r="E19" s="90" t="s">
        <v>10</v>
      </c>
      <c r="F19" s="202">
        <v>0.47</v>
      </c>
      <c r="G19" s="213">
        <v>141.43</v>
      </c>
      <c r="H19" s="78">
        <f t="shared" ref="H19:H27" si="2">F19*G19</f>
        <v>66.472099999999998</v>
      </c>
      <c r="I19" s="79">
        <f t="shared" ref="I19:I27" si="3">IF(J19="",0,(J19/G19-1))</f>
        <v>0</v>
      </c>
      <c r="J19" s="80"/>
      <c r="K19" s="81">
        <f t="shared" ref="K19:K27" si="4">J19*F19</f>
        <v>0</v>
      </c>
      <c r="L19" s="455"/>
      <c r="M19" s="73">
        <f t="shared" si="1"/>
        <v>1.2030023056311916E-4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</row>
    <row r="20" spans="1:29" x14ac:dyDescent="0.25">
      <c r="A20" s="88" t="s">
        <v>280</v>
      </c>
      <c r="B20" s="75" t="s">
        <v>99</v>
      </c>
      <c r="C20" s="84" t="s">
        <v>275</v>
      </c>
      <c r="D20" s="182">
        <v>72178</v>
      </c>
      <c r="E20" s="90" t="s">
        <v>10</v>
      </c>
      <c r="F20" s="199">
        <v>289.11</v>
      </c>
      <c r="G20" s="213">
        <v>14.7</v>
      </c>
      <c r="H20" s="78">
        <f t="shared" si="2"/>
        <v>4249.9170000000004</v>
      </c>
      <c r="I20" s="79">
        <f t="shared" si="3"/>
        <v>0</v>
      </c>
      <c r="J20" s="80"/>
      <c r="K20" s="81">
        <f t="shared" si="4"/>
        <v>0</v>
      </c>
      <c r="L20" s="456"/>
      <c r="M20" s="73">
        <f t="shared" si="1"/>
        <v>7.6914373846188062E-3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</row>
    <row r="21" spans="1:29" x14ac:dyDescent="0.25">
      <c r="A21" s="88" t="s">
        <v>281</v>
      </c>
      <c r="B21" s="75" t="s">
        <v>100</v>
      </c>
      <c r="C21" s="76" t="s">
        <v>271</v>
      </c>
      <c r="D21" s="182">
        <v>8387</v>
      </c>
      <c r="E21" s="90" t="s">
        <v>219</v>
      </c>
      <c r="F21" s="199">
        <v>5.23</v>
      </c>
      <c r="G21" s="213">
        <v>7.84</v>
      </c>
      <c r="H21" s="78">
        <f t="shared" si="2"/>
        <v>41.0032</v>
      </c>
      <c r="I21" s="79">
        <f t="shared" si="3"/>
        <v>0</v>
      </c>
      <c r="J21" s="80"/>
      <c r="K21" s="81">
        <f t="shared" si="4"/>
        <v>0</v>
      </c>
      <c r="L21" s="456"/>
      <c r="M21" s="73">
        <f t="shared" si="1"/>
        <v>7.4206989305673922E-5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1:29" x14ac:dyDescent="0.25">
      <c r="A22" s="88" t="s">
        <v>282</v>
      </c>
      <c r="B22" s="75" t="s">
        <v>209</v>
      </c>
      <c r="C22" s="84" t="s">
        <v>275</v>
      </c>
      <c r="D22" s="182">
        <v>85333</v>
      </c>
      <c r="E22" s="90" t="s">
        <v>10</v>
      </c>
      <c r="F22" s="199">
        <v>22</v>
      </c>
      <c r="G22" s="213">
        <v>12.22</v>
      </c>
      <c r="H22" s="78">
        <f t="shared" si="2"/>
        <v>268.84000000000003</v>
      </c>
      <c r="I22" s="79">
        <f t="shared" si="3"/>
        <v>0</v>
      </c>
      <c r="J22" s="80"/>
      <c r="K22" s="81">
        <f t="shared" si="4"/>
        <v>0</v>
      </c>
      <c r="L22" s="456"/>
      <c r="M22" s="73">
        <f t="shared" si="1"/>
        <v>4.8654268459382148E-4</v>
      </c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</row>
    <row r="23" spans="1:29" x14ac:dyDescent="0.25">
      <c r="A23" s="88" t="s">
        <v>283</v>
      </c>
      <c r="B23" s="75" t="s">
        <v>204</v>
      </c>
      <c r="C23" s="76" t="s">
        <v>271</v>
      </c>
      <c r="D23" s="182" t="s">
        <v>336</v>
      </c>
      <c r="E23" s="90" t="s">
        <v>10</v>
      </c>
      <c r="F23" s="199">
        <v>86.99</v>
      </c>
      <c r="G23" s="213">
        <v>7.36</v>
      </c>
      <c r="H23" s="78">
        <f t="shared" si="2"/>
        <v>640.24639999999999</v>
      </c>
      <c r="I23" s="79">
        <f t="shared" si="3"/>
        <v>0</v>
      </c>
      <c r="J23" s="80"/>
      <c r="K23" s="81">
        <f t="shared" si="4"/>
        <v>0</v>
      </c>
      <c r="L23" s="456"/>
      <c r="M23" s="73">
        <f t="shared" si="1"/>
        <v>1.1587085339143342E-3</v>
      </c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</row>
    <row r="24" spans="1:29" x14ac:dyDescent="0.25">
      <c r="A24" s="88" t="s">
        <v>284</v>
      </c>
      <c r="B24" s="75" t="s">
        <v>207</v>
      </c>
      <c r="C24" s="76" t="s">
        <v>271</v>
      </c>
      <c r="D24" s="182" t="s">
        <v>336</v>
      </c>
      <c r="E24" s="90" t="s">
        <v>10</v>
      </c>
      <c r="F24" s="199">
        <v>4.32</v>
      </c>
      <c r="G24" s="213">
        <v>7.36</v>
      </c>
      <c r="H24" s="78">
        <f t="shared" si="2"/>
        <v>31.795200000000005</v>
      </c>
      <c r="I24" s="79">
        <f t="shared" si="3"/>
        <v>0</v>
      </c>
      <c r="J24" s="80"/>
      <c r="K24" s="81">
        <f t="shared" si="4"/>
        <v>0</v>
      </c>
      <c r="L24" s="456"/>
      <c r="M24" s="73">
        <f t="shared" si="1"/>
        <v>5.7542486107712662E-5</v>
      </c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</row>
    <row r="25" spans="1:29" x14ac:dyDescent="0.25">
      <c r="A25" s="88" t="s">
        <v>285</v>
      </c>
      <c r="B25" s="75" t="s">
        <v>203</v>
      </c>
      <c r="C25" s="84" t="s">
        <v>275</v>
      </c>
      <c r="D25" s="182" t="s">
        <v>205</v>
      </c>
      <c r="E25" s="90" t="s">
        <v>10</v>
      </c>
      <c r="F25" s="199">
        <v>72.489999999999995</v>
      </c>
      <c r="G25" s="213">
        <v>14.46</v>
      </c>
      <c r="H25" s="78">
        <f t="shared" si="2"/>
        <v>1048.2054000000001</v>
      </c>
      <c r="I25" s="79">
        <f t="shared" si="3"/>
        <v>0</v>
      </c>
      <c r="J25" s="80"/>
      <c r="K25" s="81">
        <f t="shared" si="4"/>
        <v>0</v>
      </c>
      <c r="L25" s="456"/>
      <c r="M25" s="73">
        <f t="shared" si="1"/>
        <v>1.897026742009152E-3</v>
      </c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</row>
    <row r="26" spans="1:29" x14ac:dyDescent="0.25">
      <c r="A26" s="88" t="s">
        <v>286</v>
      </c>
      <c r="B26" s="75" t="s">
        <v>206</v>
      </c>
      <c r="C26" s="76" t="s">
        <v>271</v>
      </c>
      <c r="D26" s="182" t="s">
        <v>337</v>
      </c>
      <c r="E26" s="90" t="s">
        <v>10</v>
      </c>
      <c r="F26" s="199">
        <v>124.85</v>
      </c>
      <c r="G26" s="213">
        <v>3.2</v>
      </c>
      <c r="H26" s="78">
        <f t="shared" si="2"/>
        <v>399.52</v>
      </c>
      <c r="I26" s="79">
        <f t="shared" si="3"/>
        <v>0</v>
      </c>
      <c r="J26" s="80"/>
      <c r="K26" s="81">
        <f t="shared" si="4"/>
        <v>0</v>
      </c>
      <c r="L26" s="456"/>
      <c r="M26" s="73">
        <f t="shared" si="1"/>
        <v>7.2304542980554799E-4</v>
      </c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</row>
    <row r="27" spans="1:29" x14ac:dyDescent="0.25">
      <c r="A27" s="88" t="s">
        <v>339</v>
      </c>
      <c r="B27" s="75" t="s">
        <v>213</v>
      </c>
      <c r="C27" s="76" t="s">
        <v>271</v>
      </c>
      <c r="D27" s="182" t="s">
        <v>337</v>
      </c>
      <c r="E27" s="90" t="s">
        <v>10</v>
      </c>
      <c r="F27" s="203">
        <v>140.80000000000001</v>
      </c>
      <c r="G27" s="213">
        <v>3.2</v>
      </c>
      <c r="H27" s="78">
        <f t="shared" si="2"/>
        <v>450.56000000000006</v>
      </c>
      <c r="I27" s="79">
        <f t="shared" si="3"/>
        <v>0</v>
      </c>
      <c r="J27" s="80"/>
      <c r="K27" s="81">
        <f t="shared" si="4"/>
        <v>0</v>
      </c>
      <c r="L27" s="477"/>
      <c r="M27" s="73">
        <f t="shared" si="1"/>
        <v>8.1541687237982519E-4</v>
      </c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</row>
    <row r="28" spans="1:29" x14ac:dyDescent="0.25">
      <c r="A28" s="484"/>
      <c r="B28" s="485"/>
      <c r="C28" s="485"/>
      <c r="D28" s="485"/>
      <c r="E28" s="485"/>
      <c r="F28" s="485"/>
      <c r="G28" s="485"/>
      <c r="H28" s="485"/>
      <c r="I28" s="485"/>
      <c r="J28" s="485"/>
      <c r="K28" s="485"/>
      <c r="L28" s="486"/>
      <c r="M28" s="73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</row>
    <row r="29" spans="1:29" x14ac:dyDescent="0.25">
      <c r="A29" s="67" t="s">
        <v>287</v>
      </c>
      <c r="B29" s="85" t="s">
        <v>338</v>
      </c>
      <c r="C29" s="86"/>
      <c r="D29" s="183"/>
      <c r="E29" s="87"/>
      <c r="F29" s="201"/>
      <c r="G29" s="198"/>
      <c r="H29" s="95">
        <f>SUM(H30:H33)</f>
        <v>124504.41929999999</v>
      </c>
      <c r="I29" s="72">
        <f>IF(L29=0,0,(L29/H29-1))</f>
        <v>0</v>
      </c>
      <c r="J29" s="96"/>
      <c r="K29" s="96"/>
      <c r="L29" s="96">
        <f>SUM(K30:K33)</f>
        <v>0</v>
      </c>
      <c r="M29" s="73">
        <f>H29/$H$167</f>
        <v>0.22532626993757174</v>
      </c>
      <c r="O29" s="97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</row>
    <row r="30" spans="1:29" ht="29.25" x14ac:dyDescent="0.25">
      <c r="A30" s="82" t="s">
        <v>289</v>
      </c>
      <c r="B30" s="93" t="s">
        <v>340</v>
      </c>
      <c r="C30" s="91" t="s">
        <v>271</v>
      </c>
      <c r="D30" s="184" t="s">
        <v>341</v>
      </c>
      <c r="E30" s="90" t="s">
        <v>10</v>
      </c>
      <c r="F30" s="199">
        <v>2797.7</v>
      </c>
      <c r="G30" s="214">
        <v>37.9</v>
      </c>
      <c r="H30" s="78">
        <f t="shared" ref="H30:H33" si="5">F30*G30</f>
        <v>106032.82999999999</v>
      </c>
      <c r="I30" s="79">
        <f t="shared" ref="I30:I33" si="6">IF(J30="",0,(J30/G30-1))</f>
        <v>0</v>
      </c>
      <c r="J30" s="80"/>
      <c r="K30" s="81">
        <f t="shared" ref="K30:K33" si="7">J30*F30</f>
        <v>0</v>
      </c>
      <c r="L30" s="455"/>
      <c r="M30" s="73">
        <f>H30/$H$167</f>
        <v>0.19189665884273277</v>
      </c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29" x14ac:dyDescent="0.25">
      <c r="A31" s="82" t="s">
        <v>290</v>
      </c>
      <c r="B31" s="89" t="s">
        <v>342</v>
      </c>
      <c r="C31" s="91" t="s">
        <v>271</v>
      </c>
      <c r="D31" s="185" t="s">
        <v>343</v>
      </c>
      <c r="E31" s="98" t="s">
        <v>185</v>
      </c>
      <c r="F31" s="199">
        <v>40.630000000000003</v>
      </c>
      <c r="G31" s="214">
        <v>6.33</v>
      </c>
      <c r="H31" s="78">
        <f t="shared" si="5"/>
        <v>257.18790000000001</v>
      </c>
      <c r="I31" s="79">
        <f t="shared" si="6"/>
        <v>0</v>
      </c>
      <c r="J31" s="80"/>
      <c r="K31" s="81">
        <f t="shared" si="7"/>
        <v>0</v>
      </c>
      <c r="L31" s="456"/>
      <c r="M31" s="73">
        <f>H31/$H$167</f>
        <v>4.6545488510283919E-4</v>
      </c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1:29" x14ac:dyDescent="0.25">
      <c r="A32" s="82" t="s">
        <v>292</v>
      </c>
      <c r="B32" s="93" t="s">
        <v>344</v>
      </c>
      <c r="C32" s="91" t="s">
        <v>345</v>
      </c>
      <c r="D32" s="185" t="s">
        <v>346</v>
      </c>
      <c r="E32" s="98" t="s">
        <v>5</v>
      </c>
      <c r="F32" s="199">
        <v>1</v>
      </c>
      <c r="G32" s="214">
        <v>1084.3</v>
      </c>
      <c r="H32" s="78">
        <f t="shared" si="5"/>
        <v>1084.3</v>
      </c>
      <c r="I32" s="79">
        <f t="shared" si="6"/>
        <v>0</v>
      </c>
      <c r="J32" s="80"/>
      <c r="K32" s="81">
        <f t="shared" si="7"/>
        <v>0</v>
      </c>
      <c r="L32" s="456"/>
      <c r="M32" s="73">
        <f>H32/$H$167</f>
        <v>1.962350219108319E-3</v>
      </c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:29" x14ac:dyDescent="0.25">
      <c r="A33" s="82" t="s">
        <v>293</v>
      </c>
      <c r="B33" s="93" t="s">
        <v>347</v>
      </c>
      <c r="C33" s="91" t="s">
        <v>271</v>
      </c>
      <c r="D33" s="186" t="s">
        <v>348</v>
      </c>
      <c r="E33" s="99" t="s">
        <v>10</v>
      </c>
      <c r="F33" s="199">
        <v>294.18</v>
      </c>
      <c r="G33" s="100">
        <v>58.23</v>
      </c>
      <c r="H33" s="78">
        <f t="shared" si="5"/>
        <v>17130.1014</v>
      </c>
      <c r="I33" s="79">
        <f t="shared" si="6"/>
        <v>0</v>
      </c>
      <c r="J33" s="80"/>
      <c r="K33" s="81">
        <f t="shared" si="7"/>
        <v>0</v>
      </c>
      <c r="L33" s="456"/>
      <c r="M33" s="73">
        <f>H33/$H$167</f>
        <v>3.1001805990627802E-2</v>
      </c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</row>
    <row r="34" spans="1:29" x14ac:dyDescent="0.25">
      <c r="A34" s="484"/>
      <c r="B34" s="485"/>
      <c r="C34" s="485"/>
      <c r="D34" s="485"/>
      <c r="E34" s="485"/>
      <c r="F34" s="485"/>
      <c r="G34" s="485"/>
      <c r="H34" s="485"/>
      <c r="I34" s="485"/>
      <c r="J34" s="485"/>
      <c r="K34" s="485"/>
      <c r="L34" s="486"/>
      <c r="M34" s="73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</row>
    <row r="35" spans="1:29" x14ac:dyDescent="0.25">
      <c r="A35" s="67" t="s">
        <v>294</v>
      </c>
      <c r="B35" s="102" t="s">
        <v>349</v>
      </c>
      <c r="C35" s="103"/>
      <c r="D35" s="149"/>
      <c r="E35" s="87"/>
      <c r="F35" s="201"/>
      <c r="G35" s="198"/>
      <c r="H35" s="95">
        <f>SUM(H36:H37)</f>
        <v>2028.4024999999999</v>
      </c>
      <c r="I35" s="72">
        <f>IF(L35=0,0,(L35/H35-1))</f>
        <v>0</v>
      </c>
      <c r="J35" s="96"/>
      <c r="K35" s="96"/>
      <c r="L35" s="96">
        <f>SUM(K36:K37)</f>
        <v>0</v>
      </c>
      <c r="M35" s="73">
        <f>H35/$H$167</f>
        <v>3.6709730612513717E-3</v>
      </c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</row>
    <row r="36" spans="1:29" x14ac:dyDescent="0.25">
      <c r="A36" s="82" t="s">
        <v>295</v>
      </c>
      <c r="B36" s="104" t="s">
        <v>103</v>
      </c>
      <c r="C36" s="92" t="s">
        <v>345</v>
      </c>
      <c r="D36" s="77" t="s">
        <v>350</v>
      </c>
      <c r="E36" s="105" t="s">
        <v>5</v>
      </c>
      <c r="F36" s="199">
        <v>1</v>
      </c>
      <c r="G36" s="214">
        <v>632.97</v>
      </c>
      <c r="H36" s="78">
        <f t="shared" ref="H36:H37" si="8">F36*G36</f>
        <v>632.97</v>
      </c>
      <c r="I36" s="79">
        <f>IF(J36="",0,(J36/G36-1))</f>
        <v>0</v>
      </c>
      <c r="J36" s="80"/>
      <c r="K36" s="81">
        <f>J36*F36</f>
        <v>0</v>
      </c>
      <c r="L36" s="455"/>
      <c r="M36" s="73">
        <f>H36/$H$167</f>
        <v>1.1455398120344858E-3</v>
      </c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</row>
    <row r="37" spans="1:29" x14ac:dyDescent="0.25">
      <c r="A37" s="82" t="s">
        <v>296</v>
      </c>
      <c r="B37" s="106" t="s">
        <v>208</v>
      </c>
      <c r="C37" s="107" t="s">
        <v>275</v>
      </c>
      <c r="D37" s="187" t="s">
        <v>351</v>
      </c>
      <c r="E37" s="105" t="s">
        <v>10</v>
      </c>
      <c r="F37" s="199">
        <v>72.489999999999995</v>
      </c>
      <c r="G37" s="214">
        <v>19.25</v>
      </c>
      <c r="H37" s="78">
        <f t="shared" si="8"/>
        <v>1395.4324999999999</v>
      </c>
      <c r="I37" s="79">
        <f>IF(J37="",0,(J37/G37-1))</f>
        <v>0</v>
      </c>
      <c r="J37" s="80"/>
      <c r="K37" s="81">
        <f>J37*F37</f>
        <v>0</v>
      </c>
      <c r="L37" s="477"/>
      <c r="M37" s="73">
        <f>H37/$H$167</f>
        <v>2.5254332492168859E-3</v>
      </c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</row>
    <row r="39" spans="1:29" x14ac:dyDescent="0.25">
      <c r="A39" s="67" t="s">
        <v>297</v>
      </c>
      <c r="B39" s="102" t="s">
        <v>288</v>
      </c>
      <c r="C39" s="103"/>
      <c r="D39" s="149"/>
      <c r="E39" s="87"/>
      <c r="F39" s="201"/>
      <c r="G39" s="198"/>
      <c r="H39" s="95">
        <f>SUM(H40:H48)</f>
        <v>23477.828129999998</v>
      </c>
      <c r="I39" s="72">
        <f>IF(L39=0,0,(L39/H39-1))</f>
        <v>0</v>
      </c>
      <c r="J39" s="96"/>
      <c r="K39" s="96"/>
      <c r="L39" s="96">
        <f>SUM(K40:K48)</f>
        <v>0</v>
      </c>
      <c r="M39" s="73">
        <f t="shared" ref="M39:M48" si="9">H39/$H$167</f>
        <v>4.2489828622238268E-2</v>
      </c>
      <c r="N39" s="36"/>
      <c r="O39" s="108"/>
      <c r="P39" s="108"/>
      <c r="Q39" s="109"/>
      <c r="R39" s="108"/>
      <c r="S39" s="108"/>
      <c r="T39" s="109"/>
      <c r="U39" s="109"/>
      <c r="V39" s="110"/>
    </row>
    <row r="40" spans="1:29" ht="29.25" x14ac:dyDescent="0.25">
      <c r="A40" s="82" t="s">
        <v>299</v>
      </c>
      <c r="B40" s="111" t="s">
        <v>356</v>
      </c>
      <c r="C40" s="112" t="s">
        <v>275</v>
      </c>
      <c r="D40" s="222" t="s">
        <v>352</v>
      </c>
      <c r="E40" s="99" t="s">
        <v>5</v>
      </c>
      <c r="F40" s="204">
        <v>2</v>
      </c>
      <c r="G40" s="214">
        <f>283.01+48.41</f>
        <v>331.41999999999996</v>
      </c>
      <c r="H40" s="78">
        <f t="shared" ref="H40:H48" si="10">F40*G40</f>
        <v>662.83999999999992</v>
      </c>
      <c r="I40" s="79">
        <f t="shared" ref="I40:I48" si="11">IF(J40="",0,(J40/G40-1))</f>
        <v>0</v>
      </c>
      <c r="J40" s="80"/>
      <c r="K40" s="81">
        <f t="shared" ref="K40:K48" si="12">J40*F40</f>
        <v>0</v>
      </c>
      <c r="L40" s="455"/>
      <c r="M40" s="73">
        <f t="shared" si="9"/>
        <v>1.1995980994501136E-3</v>
      </c>
      <c r="N40" s="36"/>
      <c r="O40" s="113"/>
      <c r="P40" s="114"/>
      <c r="Q40" s="115"/>
      <c r="R40" s="116"/>
      <c r="S40" s="117"/>
      <c r="T40" s="115"/>
      <c r="U40" s="115"/>
      <c r="V40" s="110"/>
    </row>
    <row r="41" spans="1:29" ht="29.25" x14ac:dyDescent="0.25">
      <c r="A41" s="82" t="s">
        <v>302</v>
      </c>
      <c r="B41" s="111" t="s">
        <v>357</v>
      </c>
      <c r="C41" s="112" t="s">
        <v>275</v>
      </c>
      <c r="D41" s="189" t="s">
        <v>354</v>
      </c>
      <c r="E41" s="99" t="s">
        <v>5</v>
      </c>
      <c r="F41" s="199">
        <v>2</v>
      </c>
      <c r="G41" s="214">
        <f>463.78*0.9*1.6+48.41</f>
        <v>716.25319999999999</v>
      </c>
      <c r="H41" s="78">
        <f t="shared" si="10"/>
        <v>1432.5064</v>
      </c>
      <c r="I41" s="79">
        <f t="shared" si="11"/>
        <v>0</v>
      </c>
      <c r="J41" s="80"/>
      <c r="K41" s="81">
        <f t="shared" si="12"/>
        <v>0</v>
      </c>
      <c r="L41" s="456"/>
      <c r="M41" s="73">
        <f t="shared" si="9"/>
        <v>2.5925290490768881E-3</v>
      </c>
      <c r="N41" s="36"/>
      <c r="O41" s="118"/>
      <c r="P41" s="119"/>
      <c r="Q41" s="120"/>
      <c r="R41" s="121"/>
      <c r="S41" s="122"/>
      <c r="T41" s="123"/>
      <c r="U41" s="120"/>
      <c r="V41" s="124"/>
    </row>
    <row r="42" spans="1:29" ht="29.25" x14ac:dyDescent="0.25">
      <c r="A42" s="82" t="s">
        <v>360</v>
      </c>
      <c r="B42" s="111" t="s">
        <v>358</v>
      </c>
      <c r="C42" s="112" t="s">
        <v>275</v>
      </c>
      <c r="D42" s="189" t="s">
        <v>354</v>
      </c>
      <c r="E42" s="90" t="s">
        <v>5</v>
      </c>
      <c r="F42" s="199">
        <v>10</v>
      </c>
      <c r="G42" s="214">
        <f>463.78*0.6*1.6+48.41</f>
        <v>493.63879999999995</v>
      </c>
      <c r="H42" s="78">
        <f t="shared" si="10"/>
        <v>4936.387999999999</v>
      </c>
      <c r="I42" s="79">
        <f t="shared" si="11"/>
        <v>0</v>
      </c>
      <c r="J42" s="80"/>
      <c r="K42" s="81">
        <f t="shared" si="12"/>
        <v>0</v>
      </c>
      <c r="L42" s="456"/>
      <c r="M42" s="73">
        <f t="shared" si="9"/>
        <v>8.9338025208924431E-3</v>
      </c>
      <c r="N42" s="36"/>
      <c r="O42" s="118"/>
      <c r="P42" s="125"/>
      <c r="Q42" s="120"/>
      <c r="R42" s="121"/>
      <c r="S42" s="126"/>
      <c r="T42" s="127"/>
      <c r="U42" s="120"/>
      <c r="V42" s="128"/>
    </row>
    <row r="43" spans="1:29" x14ac:dyDescent="0.25">
      <c r="A43" s="82" t="s">
        <v>304</v>
      </c>
      <c r="B43" s="93" t="s">
        <v>359</v>
      </c>
      <c r="C43" s="112" t="s">
        <v>271</v>
      </c>
      <c r="D43" s="186" t="s">
        <v>355</v>
      </c>
      <c r="E43" s="99" t="s">
        <v>10</v>
      </c>
      <c r="F43" s="199">
        <v>3.56</v>
      </c>
      <c r="G43" s="214">
        <v>186.09</v>
      </c>
      <c r="H43" s="78">
        <f t="shared" si="10"/>
        <v>662.48040000000003</v>
      </c>
      <c r="I43" s="79">
        <f t="shared" si="11"/>
        <v>0</v>
      </c>
      <c r="J43" s="80"/>
      <c r="K43" s="81">
        <f t="shared" si="12"/>
        <v>0</v>
      </c>
      <c r="L43" s="456"/>
      <c r="M43" s="73">
        <f t="shared" si="9"/>
        <v>1.1989473006501588E-3</v>
      </c>
      <c r="N43" s="36"/>
      <c r="O43" s="118"/>
      <c r="P43" s="125"/>
      <c r="Q43" s="120"/>
      <c r="R43" s="121"/>
      <c r="S43" s="126"/>
      <c r="T43" s="127"/>
      <c r="U43" s="120"/>
      <c r="V43" s="128"/>
    </row>
    <row r="44" spans="1:29" x14ac:dyDescent="0.25">
      <c r="A44" s="82" t="s">
        <v>361</v>
      </c>
      <c r="B44" s="93" t="s">
        <v>407</v>
      </c>
      <c r="C44" s="112" t="s">
        <v>275</v>
      </c>
      <c r="D44" s="112" t="s">
        <v>409</v>
      </c>
      <c r="E44" s="99" t="s">
        <v>10</v>
      </c>
      <c r="F44" s="199">
        <v>1.68</v>
      </c>
      <c r="G44" s="214">
        <v>210.92</v>
      </c>
      <c r="H44" s="78">
        <f t="shared" si="10"/>
        <v>354.34559999999999</v>
      </c>
      <c r="I44" s="79">
        <f t="shared" ref="I44" si="13">IF(J44="",0,(J44/G44-1))</f>
        <v>0</v>
      </c>
      <c r="J44" s="80"/>
      <c r="K44" s="81">
        <f t="shared" ref="K44" si="14">J44*F44</f>
        <v>0</v>
      </c>
      <c r="L44" s="456"/>
      <c r="M44" s="73">
        <f t="shared" si="9"/>
        <v>6.4128946398604519E-4</v>
      </c>
      <c r="N44" s="36"/>
      <c r="O44" s="118"/>
      <c r="P44" s="125"/>
      <c r="Q44" s="120"/>
      <c r="R44" s="121"/>
      <c r="S44" s="126"/>
      <c r="T44" s="127"/>
      <c r="U44" s="120"/>
      <c r="V44" s="128"/>
    </row>
    <row r="45" spans="1:29" x14ac:dyDescent="0.25">
      <c r="A45" s="82" t="s">
        <v>362</v>
      </c>
      <c r="B45" s="129" t="s">
        <v>214</v>
      </c>
      <c r="C45" s="112" t="s">
        <v>275</v>
      </c>
      <c r="D45" s="186">
        <v>84847</v>
      </c>
      <c r="E45" s="99" t="s">
        <v>10</v>
      </c>
      <c r="F45" s="199">
        <v>5</v>
      </c>
      <c r="G45" s="214">
        <v>542.41</v>
      </c>
      <c r="H45" s="78">
        <f t="shared" si="10"/>
        <v>2712.0499999999997</v>
      </c>
      <c r="I45" s="79">
        <f t="shared" si="11"/>
        <v>0</v>
      </c>
      <c r="J45" s="80"/>
      <c r="K45" s="81">
        <f t="shared" si="12"/>
        <v>0</v>
      </c>
      <c r="L45" s="456"/>
      <c r="M45" s="73">
        <f t="shared" si="9"/>
        <v>4.9082282686827598E-3</v>
      </c>
      <c r="N45" s="36"/>
      <c r="O45" s="130"/>
      <c r="Q45" s="120"/>
      <c r="R45" s="131"/>
      <c r="S45" s="126"/>
      <c r="T45" s="132"/>
      <c r="U45" s="120"/>
      <c r="V45" s="128"/>
    </row>
    <row r="46" spans="1:29" x14ac:dyDescent="0.25">
      <c r="A46" s="82" t="s">
        <v>363</v>
      </c>
      <c r="B46" s="93" t="s">
        <v>215</v>
      </c>
      <c r="C46" s="112" t="s">
        <v>275</v>
      </c>
      <c r="D46" s="186">
        <v>84846</v>
      </c>
      <c r="E46" s="99" t="s">
        <v>10</v>
      </c>
      <c r="F46" s="199">
        <v>18.04</v>
      </c>
      <c r="G46" s="214">
        <v>675.21</v>
      </c>
      <c r="H46" s="78">
        <f t="shared" si="10"/>
        <v>12180.788399999999</v>
      </c>
      <c r="I46" s="79">
        <f t="shared" si="11"/>
        <v>0</v>
      </c>
      <c r="J46" s="80"/>
      <c r="K46" s="81">
        <f t="shared" si="12"/>
        <v>0</v>
      </c>
      <c r="L46" s="456"/>
      <c r="M46" s="73">
        <f t="shared" si="9"/>
        <v>2.2044611994514501E-2</v>
      </c>
      <c r="N46" s="36"/>
      <c r="O46" s="130"/>
      <c r="Q46" s="120"/>
      <c r="R46" s="131"/>
      <c r="S46" s="126"/>
      <c r="T46" s="132"/>
      <c r="U46" s="120"/>
      <c r="V46" s="128"/>
    </row>
    <row r="47" spans="1:29" x14ac:dyDescent="0.25">
      <c r="A47" s="82" t="s">
        <v>364</v>
      </c>
      <c r="B47" s="93" t="s">
        <v>116</v>
      </c>
      <c r="C47" s="112" t="s">
        <v>275</v>
      </c>
      <c r="D47" s="186">
        <v>72117</v>
      </c>
      <c r="E47" s="99" t="s">
        <v>5</v>
      </c>
      <c r="F47" s="199">
        <v>1.2</v>
      </c>
      <c r="G47" s="214">
        <v>69.819999999999993</v>
      </c>
      <c r="H47" s="78">
        <f t="shared" si="10"/>
        <v>83.783999999999992</v>
      </c>
      <c r="I47" s="79">
        <f t="shared" si="11"/>
        <v>0</v>
      </c>
      <c r="J47" s="80"/>
      <c r="K47" s="81">
        <f t="shared" si="12"/>
        <v>0</v>
      </c>
      <c r="L47" s="456"/>
      <c r="M47" s="73">
        <f t="shared" si="9"/>
        <v>1.5163105299065887E-4</v>
      </c>
      <c r="N47" s="36"/>
      <c r="O47" s="130"/>
      <c r="Q47" s="120"/>
      <c r="R47" s="131"/>
      <c r="S47" s="126"/>
      <c r="T47" s="132"/>
      <c r="U47" s="120"/>
      <c r="V47" s="128"/>
    </row>
    <row r="48" spans="1:29" ht="29.25" x14ac:dyDescent="0.25">
      <c r="A48" s="82" t="s">
        <v>430</v>
      </c>
      <c r="B48" s="93" t="s">
        <v>210</v>
      </c>
      <c r="C48" s="112" t="s">
        <v>345</v>
      </c>
      <c r="D48" s="186" t="s">
        <v>353</v>
      </c>
      <c r="E48" s="99" t="s">
        <v>10</v>
      </c>
      <c r="F48" s="199">
        <v>6.13</v>
      </c>
      <c r="G48" s="214">
        <v>73.841000000000008</v>
      </c>
      <c r="H48" s="78">
        <f t="shared" si="10"/>
        <v>452.64533000000006</v>
      </c>
      <c r="I48" s="79">
        <f t="shared" si="11"/>
        <v>0</v>
      </c>
      <c r="J48" s="80"/>
      <c r="K48" s="81">
        <f t="shared" si="12"/>
        <v>0</v>
      </c>
      <c r="L48" s="477"/>
      <c r="M48" s="73">
        <f t="shared" si="9"/>
        <v>8.1919087199470401E-4</v>
      </c>
      <c r="N48" s="36"/>
      <c r="O48" s="130"/>
      <c r="Q48" s="120"/>
      <c r="R48" s="131"/>
      <c r="S48" s="126"/>
      <c r="T48" s="132"/>
      <c r="U48" s="120"/>
      <c r="V48" s="128"/>
    </row>
    <row r="49" spans="1:22" x14ac:dyDescent="0.25">
      <c r="A49" s="487"/>
      <c r="B49" s="488"/>
      <c r="C49" s="488"/>
      <c r="D49" s="488"/>
      <c r="E49" s="488"/>
      <c r="F49" s="488"/>
      <c r="G49" s="488"/>
      <c r="H49" s="488"/>
      <c r="I49" s="488"/>
      <c r="J49" s="488"/>
      <c r="K49" s="488"/>
      <c r="L49" s="489"/>
      <c r="M49" s="73"/>
      <c r="N49" s="36"/>
      <c r="O49" s="118"/>
      <c r="P49" s="130"/>
      <c r="Q49" s="120"/>
      <c r="R49" s="131"/>
      <c r="S49" s="126"/>
      <c r="T49" s="132"/>
      <c r="U49" s="120"/>
      <c r="V49" s="128"/>
    </row>
    <row r="50" spans="1:22" x14ac:dyDescent="0.25">
      <c r="A50" s="67" t="s">
        <v>306</v>
      </c>
      <c r="B50" s="85" t="s">
        <v>365</v>
      </c>
      <c r="C50" s="86"/>
      <c r="D50" s="183"/>
      <c r="E50" s="87"/>
      <c r="F50" s="201"/>
      <c r="G50" s="198"/>
      <c r="H50" s="95">
        <f>SUM(H51:H55)</f>
        <v>6205.0045000000009</v>
      </c>
      <c r="I50" s="72">
        <f>IF(L50=0,0,(L50/H50-1))</f>
        <v>0</v>
      </c>
      <c r="J50" s="96"/>
      <c r="K50" s="96"/>
      <c r="L50" s="96">
        <f>SUM(K51:K54)</f>
        <v>0</v>
      </c>
      <c r="M50" s="73">
        <f t="shared" ref="M50:M55" si="15">H50/$H$167</f>
        <v>1.1229726035362085E-2</v>
      </c>
      <c r="N50" s="36"/>
      <c r="O50" s="118"/>
      <c r="P50" s="125"/>
      <c r="Q50" s="120"/>
      <c r="R50" s="121"/>
      <c r="S50" s="126"/>
      <c r="T50" s="127"/>
      <c r="U50" s="120"/>
    </row>
    <row r="51" spans="1:22" x14ac:dyDescent="0.25">
      <c r="A51" s="82" t="s">
        <v>306</v>
      </c>
      <c r="B51" s="93" t="s">
        <v>366</v>
      </c>
      <c r="C51" s="112" t="s">
        <v>275</v>
      </c>
      <c r="D51" s="186">
        <v>75481</v>
      </c>
      <c r="E51" s="90" t="s">
        <v>10</v>
      </c>
      <c r="F51" s="199">
        <v>127.24</v>
      </c>
      <c r="G51" s="214">
        <v>8.6</v>
      </c>
      <c r="H51" s="78">
        <f>F51*G51</f>
        <v>1094.2639999999999</v>
      </c>
      <c r="I51" s="79">
        <f>IF(J51="",0,(J51/G51-1))</f>
        <v>0</v>
      </c>
      <c r="J51" s="80"/>
      <c r="K51" s="81">
        <f>J51*F51</f>
        <v>0</v>
      </c>
      <c r="L51" s="360"/>
      <c r="M51" s="223">
        <f t="shared" si="15"/>
        <v>1.9803829200058525E-3</v>
      </c>
      <c r="N51" s="36"/>
      <c r="O51" s="118"/>
      <c r="P51" s="130"/>
      <c r="Q51" s="120"/>
      <c r="R51" s="131"/>
      <c r="S51" s="126"/>
      <c r="T51" s="132"/>
      <c r="U51" s="120"/>
    </row>
    <row r="52" spans="1:22" x14ac:dyDescent="0.25">
      <c r="A52" s="82" t="s">
        <v>307</v>
      </c>
      <c r="B52" s="93" t="s">
        <v>212</v>
      </c>
      <c r="C52" s="112" t="s">
        <v>275</v>
      </c>
      <c r="D52" s="186">
        <v>75481</v>
      </c>
      <c r="E52" s="90" t="s">
        <v>10</v>
      </c>
      <c r="F52" s="199">
        <v>140.80000000000001</v>
      </c>
      <c r="G52" s="214">
        <v>8.6</v>
      </c>
      <c r="H52" s="78">
        <f>F52*G52</f>
        <v>1210.8800000000001</v>
      </c>
      <c r="I52" s="79">
        <f>IF(J52="",0,(J52/G52-1))</f>
        <v>0</v>
      </c>
      <c r="J52" s="80"/>
      <c r="K52" s="81">
        <f t="shared" ref="K52:K54" si="16">J52*F52</f>
        <v>0</v>
      </c>
      <c r="L52" s="361"/>
      <c r="M52" s="73">
        <f t="shared" si="15"/>
        <v>2.1914328445207802E-3</v>
      </c>
      <c r="N52" s="36"/>
      <c r="O52" s="133"/>
      <c r="P52" s="134"/>
      <c r="Q52" s="133"/>
      <c r="R52" s="135"/>
      <c r="S52" s="133"/>
      <c r="T52" s="135"/>
      <c r="U52" s="135"/>
    </row>
    <row r="53" spans="1:22" x14ac:dyDescent="0.25">
      <c r="A53" s="82" t="s">
        <v>308</v>
      </c>
      <c r="B53" s="93" t="s">
        <v>202</v>
      </c>
      <c r="C53" s="112" t="s">
        <v>275</v>
      </c>
      <c r="D53" s="186">
        <v>87246</v>
      </c>
      <c r="E53" s="90" t="s">
        <v>10</v>
      </c>
      <c r="F53" s="199">
        <v>72.489999999999995</v>
      </c>
      <c r="G53" s="214">
        <v>27.77</v>
      </c>
      <c r="H53" s="78">
        <f t="shared" ref="H53:H55" si="17">F53*G53</f>
        <v>2013.0472999999997</v>
      </c>
      <c r="I53" s="79">
        <f t="shared" ref="I53:I54" si="18">IF(J53="",0,(J53/G53-1))</f>
        <v>0</v>
      </c>
      <c r="J53" s="80"/>
      <c r="K53" s="81">
        <f t="shared" si="16"/>
        <v>0</v>
      </c>
      <c r="L53" s="361"/>
      <c r="M53" s="73">
        <f t="shared" si="15"/>
        <v>3.6431834457533985E-3</v>
      </c>
      <c r="N53" s="36"/>
      <c r="O53" s="133"/>
      <c r="P53" s="134"/>
      <c r="Q53" s="133"/>
      <c r="R53" s="135"/>
      <c r="S53" s="133"/>
      <c r="T53" s="135"/>
      <c r="U53" s="135"/>
    </row>
    <row r="54" spans="1:22" x14ac:dyDescent="0.25">
      <c r="A54" s="82" t="s">
        <v>309</v>
      </c>
      <c r="B54" s="93" t="s">
        <v>211</v>
      </c>
      <c r="C54" s="112" t="s">
        <v>275</v>
      </c>
      <c r="D54" s="186">
        <v>87266</v>
      </c>
      <c r="E54" s="90" t="s">
        <v>10</v>
      </c>
      <c r="F54" s="199">
        <v>18.82</v>
      </c>
      <c r="G54" s="214">
        <v>30.46</v>
      </c>
      <c r="H54" s="78">
        <f t="shared" si="17"/>
        <v>573.25720000000001</v>
      </c>
      <c r="I54" s="79">
        <f t="shared" si="18"/>
        <v>0</v>
      </c>
      <c r="J54" s="80"/>
      <c r="K54" s="81">
        <f t="shared" si="16"/>
        <v>0</v>
      </c>
      <c r="L54" s="361"/>
      <c r="M54" s="73">
        <f t="shared" si="15"/>
        <v>1.037472463363849E-3</v>
      </c>
      <c r="N54" s="36"/>
      <c r="O54" s="133"/>
      <c r="P54" s="134"/>
      <c r="Q54" s="133"/>
      <c r="R54" s="135"/>
      <c r="S54" s="133"/>
      <c r="T54" s="135"/>
      <c r="U54" s="135"/>
    </row>
    <row r="55" spans="1:22" x14ac:dyDescent="0.25">
      <c r="A55" s="82" t="s">
        <v>433</v>
      </c>
      <c r="B55" s="93" t="s">
        <v>408</v>
      </c>
      <c r="C55" s="112" t="s">
        <v>275</v>
      </c>
      <c r="D55" s="186" t="s">
        <v>434</v>
      </c>
      <c r="E55" s="90" t="s">
        <v>10</v>
      </c>
      <c r="F55" s="199">
        <v>20.55</v>
      </c>
      <c r="G55" s="214">
        <v>63.92</v>
      </c>
      <c r="H55" s="78">
        <f t="shared" si="17"/>
        <v>1313.556</v>
      </c>
      <c r="I55" s="79">
        <f t="shared" ref="I55" si="19">IF(J55="",0,(J55/G55-1))</f>
        <v>0</v>
      </c>
      <c r="J55" s="80"/>
      <c r="K55" s="81">
        <f t="shared" ref="K55" si="20">J55*F55</f>
        <v>0</v>
      </c>
      <c r="L55" s="362"/>
      <c r="M55" s="73">
        <f t="shared" si="15"/>
        <v>2.3772543617182028E-3</v>
      </c>
      <c r="N55" s="36"/>
      <c r="O55" s="133"/>
      <c r="P55" s="134"/>
      <c r="Q55" s="133"/>
      <c r="R55" s="135"/>
      <c r="S55" s="133"/>
      <c r="T55" s="135"/>
      <c r="U55" s="135"/>
    </row>
    <row r="56" spans="1:22" x14ac:dyDescent="0.25">
      <c r="A56" s="478"/>
      <c r="B56" s="479"/>
      <c r="C56" s="479"/>
      <c r="D56" s="479"/>
      <c r="E56" s="479"/>
      <c r="F56" s="479"/>
      <c r="G56" s="479"/>
      <c r="H56" s="479"/>
      <c r="I56" s="479"/>
      <c r="J56" s="479"/>
      <c r="K56" s="479"/>
      <c r="L56" s="480"/>
      <c r="M56" s="73"/>
      <c r="O56" s="136"/>
      <c r="P56" s="136"/>
      <c r="Q56" s="136"/>
      <c r="R56" s="136"/>
      <c r="S56" s="136"/>
      <c r="T56" s="136"/>
      <c r="U56" s="136"/>
    </row>
    <row r="57" spans="1:22" x14ac:dyDescent="0.25">
      <c r="A57" s="67" t="s">
        <v>310</v>
      </c>
      <c r="B57" s="102" t="s">
        <v>315</v>
      </c>
      <c r="C57" s="103"/>
      <c r="D57" s="149"/>
      <c r="E57" s="87"/>
      <c r="F57" s="201"/>
      <c r="G57" s="198"/>
      <c r="H57" s="95">
        <f>SUM(H58:H60)</f>
        <v>49083.6149</v>
      </c>
      <c r="I57" s="72">
        <f>IF(L57=0,0,(L57/H57-1))</f>
        <v>0</v>
      </c>
      <c r="J57" s="96"/>
      <c r="K57" s="96"/>
      <c r="L57" s="96">
        <f>SUM(K58:K60)</f>
        <v>0</v>
      </c>
      <c r="M57" s="73">
        <f>H57/$H$167</f>
        <v>8.8830805546106575E-2</v>
      </c>
      <c r="O57" s="137"/>
      <c r="P57" s="130"/>
      <c r="Q57" s="138"/>
      <c r="R57" s="139"/>
      <c r="S57" s="140"/>
      <c r="T57" s="141"/>
      <c r="U57" s="138"/>
    </row>
    <row r="58" spans="1:22" ht="15" customHeight="1" x14ac:dyDescent="0.25">
      <c r="A58" s="82" t="s">
        <v>431</v>
      </c>
      <c r="B58" s="101" t="s">
        <v>373</v>
      </c>
      <c r="C58" s="94" t="s">
        <v>271</v>
      </c>
      <c r="D58" s="186" t="s">
        <v>376</v>
      </c>
      <c r="E58" s="90" t="s">
        <v>10</v>
      </c>
      <c r="F58" s="199">
        <f>225.52+103.15</f>
        <v>328.67</v>
      </c>
      <c r="G58" s="214">
        <v>100.17</v>
      </c>
      <c r="H58" s="78">
        <f t="shared" ref="H58:H60" si="21">F58*G58</f>
        <v>32922.873899999999</v>
      </c>
      <c r="I58" s="79">
        <f>IF(J58="",0,(J58/G58-1))</f>
        <v>0</v>
      </c>
      <c r="J58" s="80"/>
      <c r="K58" s="81">
        <f>J58*F58</f>
        <v>0</v>
      </c>
      <c r="L58" s="455"/>
      <c r="M58" s="73">
        <f>H58/$H$167</f>
        <v>5.9583333774177405E-2</v>
      </c>
      <c r="O58" s="137"/>
      <c r="P58" s="125"/>
      <c r="Q58" s="138"/>
      <c r="R58" s="142"/>
      <c r="S58" s="143"/>
      <c r="T58" s="123"/>
      <c r="U58" s="138"/>
    </row>
    <row r="59" spans="1:22" ht="15" customHeight="1" x14ac:dyDescent="0.25">
      <c r="A59" s="82" t="s">
        <v>591</v>
      </c>
      <c r="B59" s="101" t="s">
        <v>374</v>
      </c>
      <c r="C59" s="94" t="s">
        <v>271</v>
      </c>
      <c r="D59" s="186" t="s">
        <v>375</v>
      </c>
      <c r="E59" s="90" t="s">
        <v>10</v>
      </c>
      <c r="F59" s="199">
        <f>25.98+16.25+20.76+41.31</f>
        <v>104.30000000000001</v>
      </c>
      <c r="G59" s="214">
        <v>114.67</v>
      </c>
      <c r="H59" s="78">
        <f t="shared" si="21"/>
        <v>11960.081000000002</v>
      </c>
      <c r="I59" s="79">
        <f>IF(J59="",0,(J59/G59-1))</f>
        <v>0</v>
      </c>
      <c r="J59" s="80"/>
      <c r="K59" s="81">
        <f>J59*F59</f>
        <v>0</v>
      </c>
      <c r="L59" s="456"/>
      <c r="M59" s="73">
        <f>H59/$H$167</f>
        <v>2.1645178982664621E-2</v>
      </c>
      <c r="O59" s="137"/>
      <c r="P59" s="130"/>
      <c r="Q59" s="138"/>
      <c r="R59" s="139"/>
      <c r="S59" s="143"/>
      <c r="T59" s="141"/>
      <c r="U59" s="138"/>
    </row>
    <row r="60" spans="1:22" x14ac:dyDescent="0.25">
      <c r="A60" s="82" t="s">
        <v>592</v>
      </c>
      <c r="B60" s="93" t="s">
        <v>106</v>
      </c>
      <c r="C60" s="94" t="s">
        <v>271</v>
      </c>
      <c r="D60" s="186" t="s">
        <v>377</v>
      </c>
      <c r="E60" s="90" t="s">
        <v>10</v>
      </c>
      <c r="F60" s="199">
        <v>27</v>
      </c>
      <c r="G60" s="214">
        <v>155.58000000000001</v>
      </c>
      <c r="H60" s="78">
        <f t="shared" si="21"/>
        <v>4200.6600000000008</v>
      </c>
      <c r="I60" s="79">
        <f>IF(J60="",0,(J60/G60-1))</f>
        <v>0</v>
      </c>
      <c r="J60" s="80"/>
      <c r="K60" s="81">
        <f>J60*F60</f>
        <v>0</v>
      </c>
      <c r="L60" s="456"/>
      <c r="M60" s="73">
        <f>H60/$H$167</f>
        <v>7.6022927892645522E-3</v>
      </c>
      <c r="O60" s="137"/>
      <c r="P60" s="130"/>
      <c r="Q60" s="138"/>
      <c r="R60" s="139"/>
      <c r="S60" s="143"/>
      <c r="T60" s="141"/>
      <c r="U60" s="138"/>
    </row>
    <row r="61" spans="1:22" x14ac:dyDescent="0.25">
      <c r="A61" s="478"/>
      <c r="B61" s="479"/>
      <c r="C61" s="479"/>
      <c r="D61" s="479"/>
      <c r="E61" s="479"/>
      <c r="F61" s="479"/>
      <c r="G61" s="479"/>
      <c r="H61" s="479"/>
      <c r="I61" s="479"/>
      <c r="J61" s="479"/>
      <c r="K61" s="479"/>
      <c r="L61" s="480"/>
      <c r="M61" s="73"/>
      <c r="O61" s="137"/>
      <c r="P61" s="125"/>
      <c r="Q61" s="138"/>
      <c r="R61" s="142"/>
      <c r="S61" s="143"/>
      <c r="T61" s="123"/>
      <c r="U61" s="138"/>
    </row>
    <row r="62" spans="1:22" x14ac:dyDescent="0.25">
      <c r="A62" s="67" t="s">
        <v>311</v>
      </c>
      <c r="B62" s="102" t="s">
        <v>534</v>
      </c>
      <c r="C62" s="103"/>
      <c r="D62" s="149"/>
      <c r="E62" s="87"/>
      <c r="F62" s="201"/>
      <c r="G62" s="198"/>
      <c r="H62" s="95">
        <f>SUM(H63:H64)</f>
        <v>2991.83</v>
      </c>
      <c r="I62" s="72">
        <f>IF(L62=0,0,(L62/H62-1))</f>
        <v>0</v>
      </c>
      <c r="J62" s="96"/>
      <c r="K62" s="96"/>
      <c r="L62" s="96">
        <f>SUM(K63:K64)</f>
        <v>0</v>
      </c>
      <c r="M62" s="73"/>
      <c r="O62" s="137"/>
      <c r="P62" s="125"/>
      <c r="Q62" s="138"/>
      <c r="R62" s="142"/>
      <c r="S62" s="143"/>
      <c r="T62" s="123"/>
      <c r="U62" s="138"/>
    </row>
    <row r="63" spans="1:22" x14ac:dyDescent="0.25">
      <c r="A63" s="82" t="s">
        <v>313</v>
      </c>
      <c r="B63" s="101" t="s">
        <v>427</v>
      </c>
      <c r="C63" s="94" t="s">
        <v>271</v>
      </c>
      <c r="D63" s="186" t="s">
        <v>500</v>
      </c>
      <c r="E63" s="90" t="s">
        <v>10</v>
      </c>
      <c r="F63" s="199">
        <v>3</v>
      </c>
      <c r="G63" s="214">
        <v>51.25</v>
      </c>
      <c r="H63" s="78">
        <f t="shared" ref="H63:H64" si="22">F63*G63</f>
        <v>153.75</v>
      </c>
      <c r="I63" s="79">
        <f>IF(J63="",0,(J63/G63-1))</f>
        <v>0</v>
      </c>
      <c r="J63" s="80"/>
      <c r="K63" s="81">
        <f>J63*F63</f>
        <v>0</v>
      </c>
      <c r="L63" s="455"/>
      <c r="M63" s="73">
        <f>H63/$H$167</f>
        <v>2.782544924724745E-4</v>
      </c>
      <c r="O63" s="137"/>
      <c r="P63" s="125"/>
      <c r="Q63" s="138"/>
      <c r="R63" s="142"/>
      <c r="S63" s="143"/>
      <c r="T63" s="123"/>
      <c r="U63" s="138"/>
    </row>
    <row r="64" spans="1:22" x14ac:dyDescent="0.25">
      <c r="A64" s="82" t="s">
        <v>313</v>
      </c>
      <c r="B64" s="101" t="s">
        <v>405</v>
      </c>
      <c r="C64" s="94" t="s">
        <v>271</v>
      </c>
      <c r="D64" s="186" t="s">
        <v>499</v>
      </c>
      <c r="E64" s="90" t="s">
        <v>10</v>
      </c>
      <c r="F64" s="199">
        <v>49</v>
      </c>
      <c r="G64" s="214">
        <v>57.92</v>
      </c>
      <c r="H64" s="78">
        <f t="shared" si="22"/>
        <v>2838.08</v>
      </c>
      <c r="I64" s="79">
        <f>IF(J64="",0,(J64/G64-1))</f>
        <v>0</v>
      </c>
      <c r="J64" s="80"/>
      <c r="K64" s="81">
        <f>J64*F64</f>
        <v>0</v>
      </c>
      <c r="L64" s="456"/>
      <c r="M64" s="73">
        <f>H64/$H$167</f>
        <v>5.1363155121709296E-3</v>
      </c>
      <c r="O64" s="137"/>
      <c r="P64" s="125"/>
      <c r="Q64" s="138"/>
      <c r="R64" s="142"/>
      <c r="S64" s="143"/>
      <c r="T64" s="123"/>
      <c r="U64" s="138"/>
    </row>
    <row r="65" spans="1:21" x14ac:dyDescent="0.25">
      <c r="A65" s="357"/>
      <c r="B65" s="358"/>
      <c r="C65" s="358"/>
      <c r="D65" s="358"/>
      <c r="E65" s="358"/>
      <c r="F65" s="358"/>
      <c r="G65" s="358"/>
      <c r="H65" s="358"/>
      <c r="I65" s="358"/>
      <c r="J65" s="358"/>
      <c r="K65" s="358"/>
      <c r="L65" s="359"/>
      <c r="M65" s="73"/>
      <c r="O65" s="137"/>
      <c r="P65" s="125"/>
      <c r="Q65" s="138"/>
      <c r="R65" s="142"/>
      <c r="S65" s="143"/>
      <c r="T65" s="123"/>
      <c r="U65" s="138"/>
    </row>
    <row r="66" spans="1:21" x14ac:dyDescent="0.25">
      <c r="A66" s="67" t="s">
        <v>314</v>
      </c>
      <c r="B66" s="102" t="s">
        <v>496</v>
      </c>
      <c r="C66" s="103"/>
      <c r="D66" s="149"/>
      <c r="E66" s="87"/>
      <c r="F66" s="201"/>
      <c r="G66" s="198"/>
      <c r="H66" s="95">
        <f>SUM(H67:H100)</f>
        <v>128473.13999999998</v>
      </c>
      <c r="I66" s="72">
        <f>IF(L66=0,0,(L66/H66-1))</f>
        <v>0</v>
      </c>
      <c r="J66" s="96"/>
      <c r="K66" s="96"/>
      <c r="L66" s="96">
        <f>SUM(K67:K100)</f>
        <v>0</v>
      </c>
      <c r="M66" s="73">
        <f t="shared" ref="M66:M75" si="23">H66/$H$167</f>
        <v>0.23250880238728558</v>
      </c>
      <c r="O66" s="135"/>
      <c r="P66" s="135"/>
      <c r="Q66" s="135"/>
      <c r="R66" s="135"/>
      <c r="S66" s="135"/>
      <c r="T66" s="135"/>
      <c r="U66" s="135"/>
    </row>
    <row r="67" spans="1:21" x14ac:dyDescent="0.25">
      <c r="A67" s="82" t="s">
        <v>316</v>
      </c>
      <c r="B67" s="363" t="s">
        <v>506</v>
      </c>
      <c r="C67" s="366" t="s">
        <v>271</v>
      </c>
      <c r="D67" s="364" t="s">
        <v>627</v>
      </c>
      <c r="E67" s="365" t="s">
        <v>5</v>
      </c>
      <c r="F67" s="199">
        <v>177</v>
      </c>
      <c r="G67" s="214">
        <v>110.85</v>
      </c>
      <c r="H67" s="78">
        <f t="shared" ref="H67:H100" si="24">F67*G67</f>
        <v>19620.45</v>
      </c>
      <c r="I67" s="79">
        <f>IF(J67="",0,(J67/G67-1))</f>
        <v>0</v>
      </c>
      <c r="J67" s="80"/>
      <c r="K67" s="81">
        <f>J67*F67</f>
        <v>0</v>
      </c>
      <c r="L67" s="455"/>
      <c r="M67" s="73">
        <f t="shared" si="23"/>
        <v>3.5508802320855688E-2</v>
      </c>
    </row>
    <row r="68" spans="1:21" x14ac:dyDescent="0.25">
      <c r="A68" s="82" t="s">
        <v>317</v>
      </c>
      <c r="B68" s="363" t="s">
        <v>507</v>
      </c>
      <c r="C68" s="366" t="s">
        <v>271</v>
      </c>
      <c r="D68" s="364" t="s">
        <v>438</v>
      </c>
      <c r="E68" s="365" t="s">
        <v>5</v>
      </c>
      <c r="F68" s="199">
        <v>49</v>
      </c>
      <c r="G68" s="214">
        <v>151.34</v>
      </c>
      <c r="H68" s="78">
        <f t="shared" si="24"/>
        <v>7415.66</v>
      </c>
      <c r="I68" s="79">
        <f>IF(J68="",0,(J68/G68-1))</f>
        <v>0</v>
      </c>
      <c r="J68" s="80"/>
      <c r="K68" s="81">
        <f>J68*F68</f>
        <v>0</v>
      </c>
      <c r="L68" s="456"/>
      <c r="M68" s="73">
        <f t="shared" si="23"/>
        <v>1.342075258307922E-2</v>
      </c>
    </row>
    <row r="69" spans="1:21" x14ac:dyDescent="0.25">
      <c r="A69" s="82" t="s">
        <v>318</v>
      </c>
      <c r="B69" s="363" t="s">
        <v>36</v>
      </c>
      <c r="C69" s="366" t="s">
        <v>271</v>
      </c>
      <c r="D69" s="364" t="s">
        <v>623</v>
      </c>
      <c r="E69" s="365" t="s">
        <v>5</v>
      </c>
      <c r="F69" s="199">
        <v>35</v>
      </c>
      <c r="G69" s="214">
        <v>102.74</v>
      </c>
      <c r="H69" s="78">
        <f t="shared" si="24"/>
        <v>3595.8999999999996</v>
      </c>
      <c r="I69" s="79">
        <f t="shared" ref="I69:I100" si="25">IF(J69="",0,(J69/G69-1))</f>
        <v>0</v>
      </c>
      <c r="J69" s="80"/>
      <c r="K69" s="81">
        <f t="shared" ref="K69:K100" si="26">J69*F69</f>
        <v>0</v>
      </c>
      <c r="L69" s="456"/>
      <c r="M69" s="73">
        <f t="shared" si="23"/>
        <v>6.5078070210196478E-3</v>
      </c>
    </row>
    <row r="70" spans="1:21" x14ac:dyDescent="0.25">
      <c r="A70" s="82" t="s">
        <v>380</v>
      </c>
      <c r="B70" s="363" t="s">
        <v>38</v>
      </c>
      <c r="C70" s="366" t="s">
        <v>271</v>
      </c>
      <c r="D70" s="364" t="s">
        <v>624</v>
      </c>
      <c r="E70" s="365" t="s">
        <v>5</v>
      </c>
      <c r="F70" s="199">
        <v>18</v>
      </c>
      <c r="G70" s="214">
        <v>105.94</v>
      </c>
      <c r="H70" s="78">
        <f t="shared" si="24"/>
        <v>1906.92</v>
      </c>
      <c r="I70" s="79">
        <f t="shared" si="25"/>
        <v>0</v>
      </c>
      <c r="J70" s="80"/>
      <c r="K70" s="81">
        <f t="shared" si="26"/>
        <v>0</v>
      </c>
      <c r="L70" s="456"/>
      <c r="M70" s="73">
        <f t="shared" si="23"/>
        <v>3.4511158164917794E-3</v>
      </c>
    </row>
    <row r="71" spans="1:21" x14ac:dyDescent="0.25">
      <c r="A71" s="82" t="s">
        <v>381</v>
      </c>
      <c r="B71" s="363" t="s">
        <v>53</v>
      </c>
      <c r="C71" s="366" t="s">
        <v>271</v>
      </c>
      <c r="D71" s="364" t="s">
        <v>625</v>
      </c>
      <c r="E71" s="365" t="s">
        <v>5</v>
      </c>
      <c r="F71" s="199">
        <v>8</v>
      </c>
      <c r="G71" s="214">
        <v>107.94</v>
      </c>
      <c r="H71" s="78">
        <f t="shared" si="24"/>
        <v>863.52</v>
      </c>
      <c r="I71" s="79">
        <f t="shared" si="25"/>
        <v>0</v>
      </c>
      <c r="J71" s="80"/>
      <c r="K71" s="81">
        <f t="shared" si="26"/>
        <v>0</v>
      </c>
      <c r="L71" s="456"/>
      <c r="M71" s="73">
        <f t="shared" si="23"/>
        <v>1.5627858168444303E-3</v>
      </c>
    </row>
    <row r="72" spans="1:21" x14ac:dyDescent="0.25">
      <c r="A72" s="82" t="s">
        <v>382</v>
      </c>
      <c r="B72" s="363" t="s">
        <v>428</v>
      </c>
      <c r="C72" s="366" t="s">
        <v>271</v>
      </c>
      <c r="D72" s="364" t="s">
        <v>626</v>
      </c>
      <c r="E72" s="365" t="s">
        <v>5</v>
      </c>
      <c r="F72" s="199">
        <v>359</v>
      </c>
      <c r="G72" s="214">
        <v>110.58</v>
      </c>
      <c r="H72" s="78">
        <f t="shared" si="24"/>
        <v>39698.22</v>
      </c>
      <c r="I72" s="79">
        <f t="shared" ref="I72:I99" si="27">IF(J72="",0,(J72/G72-1))</f>
        <v>0</v>
      </c>
      <c r="J72" s="80"/>
      <c r="K72" s="81">
        <f t="shared" si="26"/>
        <v>0</v>
      </c>
      <c r="L72" s="456"/>
      <c r="M72" s="73">
        <f t="shared" si="23"/>
        <v>7.184525566283341E-2</v>
      </c>
    </row>
    <row r="73" spans="1:21" x14ac:dyDescent="0.25">
      <c r="A73" s="82" t="s">
        <v>383</v>
      </c>
      <c r="B73" s="363" t="s">
        <v>511</v>
      </c>
      <c r="C73" s="366" t="s">
        <v>275</v>
      </c>
      <c r="D73" s="364" t="s">
        <v>512</v>
      </c>
      <c r="E73" s="365" t="s">
        <v>5</v>
      </c>
      <c r="F73" s="199">
        <v>4</v>
      </c>
      <c r="G73" s="214">
        <v>66.77</v>
      </c>
      <c r="H73" s="78">
        <f t="shared" si="24"/>
        <v>267.08</v>
      </c>
      <c r="I73" s="79">
        <f t="shared" si="27"/>
        <v>0</v>
      </c>
      <c r="J73" s="80"/>
      <c r="K73" s="81">
        <f t="shared" si="26"/>
        <v>0</v>
      </c>
      <c r="L73" s="456"/>
      <c r="M73" s="73">
        <f t="shared" si="23"/>
        <v>4.833574624360877E-4</v>
      </c>
    </row>
    <row r="74" spans="1:21" x14ac:dyDescent="0.25">
      <c r="A74" s="82" t="s">
        <v>384</v>
      </c>
      <c r="B74" s="363" t="s">
        <v>39</v>
      </c>
      <c r="C74" s="366" t="s">
        <v>275</v>
      </c>
      <c r="D74" s="364" t="s">
        <v>378</v>
      </c>
      <c r="E74" s="365" t="s">
        <v>5</v>
      </c>
      <c r="F74" s="199">
        <v>294</v>
      </c>
      <c r="G74" s="214">
        <v>92.67</v>
      </c>
      <c r="H74" s="78">
        <f t="shared" si="24"/>
        <v>27244.98</v>
      </c>
      <c r="I74" s="79">
        <f t="shared" si="27"/>
        <v>0</v>
      </c>
      <c r="J74" s="80"/>
      <c r="K74" s="81">
        <f t="shared" si="26"/>
        <v>0</v>
      </c>
      <c r="L74" s="456"/>
      <c r="M74" s="73">
        <f t="shared" si="23"/>
        <v>4.9307564763074588E-2</v>
      </c>
    </row>
    <row r="75" spans="1:21" x14ac:dyDescent="0.25">
      <c r="A75" s="82" t="s">
        <v>436</v>
      </c>
      <c r="B75" s="93" t="s">
        <v>406</v>
      </c>
      <c r="C75" s="94" t="s">
        <v>275</v>
      </c>
      <c r="D75" s="186" t="s">
        <v>429</v>
      </c>
      <c r="E75" s="90" t="s">
        <v>5</v>
      </c>
      <c r="F75" s="199">
        <v>61</v>
      </c>
      <c r="G75" s="214">
        <v>159</v>
      </c>
      <c r="H75" s="78">
        <f t="shared" ref="H75:H99" si="28">F75*G75</f>
        <v>9699</v>
      </c>
      <c r="I75" s="79">
        <f t="shared" si="27"/>
        <v>0</v>
      </c>
      <c r="J75" s="80"/>
      <c r="K75" s="81">
        <f t="shared" ref="K75:K99" si="29">J75*F75</f>
        <v>0</v>
      </c>
      <c r="L75" s="456"/>
      <c r="M75" s="73">
        <f t="shared" si="23"/>
        <v>1.7553107788556292E-2</v>
      </c>
    </row>
    <row r="76" spans="1:21" x14ac:dyDescent="0.25">
      <c r="A76" s="82" t="s">
        <v>437</v>
      </c>
      <c r="B76" s="93" t="s">
        <v>628</v>
      </c>
      <c r="C76" s="94" t="s">
        <v>275</v>
      </c>
      <c r="D76" s="186" t="s">
        <v>648</v>
      </c>
      <c r="E76" s="90" t="s">
        <v>185</v>
      </c>
      <c r="F76" s="199">
        <v>65.5</v>
      </c>
      <c r="G76" s="214">
        <v>8.35</v>
      </c>
      <c r="H76" s="78">
        <f t="shared" si="28"/>
        <v>546.92499999999995</v>
      </c>
      <c r="I76" s="79">
        <f t="shared" si="27"/>
        <v>0</v>
      </c>
      <c r="J76" s="80"/>
      <c r="K76" s="81">
        <f t="shared" si="29"/>
        <v>0</v>
      </c>
      <c r="L76" s="456"/>
      <c r="M76" s="73">
        <f t="shared" ref="M76:M82" si="30">H76/$H$167</f>
        <v>9.8981683444232917E-4</v>
      </c>
    </row>
    <row r="77" spans="1:21" x14ac:dyDescent="0.25">
      <c r="A77" s="82" t="s">
        <v>593</v>
      </c>
      <c r="B77" s="93" t="s">
        <v>629</v>
      </c>
      <c r="C77" s="94" t="s">
        <v>275</v>
      </c>
      <c r="D77" s="186" t="s">
        <v>642</v>
      </c>
      <c r="E77" s="90" t="s">
        <v>185</v>
      </c>
      <c r="F77" s="199">
        <v>3.7</v>
      </c>
      <c r="G77" s="214">
        <v>17.55</v>
      </c>
      <c r="H77" s="78">
        <f t="shared" si="28"/>
        <v>64.935000000000002</v>
      </c>
      <c r="I77" s="79">
        <f t="shared" si="27"/>
        <v>0</v>
      </c>
      <c r="J77" s="80"/>
      <c r="K77" s="81">
        <f t="shared" si="29"/>
        <v>0</v>
      </c>
      <c r="L77" s="456"/>
      <c r="M77" s="73">
        <f t="shared" si="30"/>
        <v>1.1751840955252118E-4</v>
      </c>
    </row>
    <row r="78" spans="1:21" x14ac:dyDescent="0.25">
      <c r="A78" s="82" t="s">
        <v>594</v>
      </c>
      <c r="B78" s="93" t="s">
        <v>630</v>
      </c>
      <c r="C78" s="94" t="s">
        <v>275</v>
      </c>
      <c r="D78" s="186" t="s">
        <v>646</v>
      </c>
      <c r="E78" s="90" t="s">
        <v>185</v>
      </c>
      <c r="F78" s="199">
        <v>11.2</v>
      </c>
      <c r="G78" s="214">
        <v>16.39</v>
      </c>
      <c r="H78" s="78">
        <f t="shared" si="28"/>
        <v>183.56799999999998</v>
      </c>
      <c r="I78" s="79">
        <f t="shared" si="27"/>
        <v>0</v>
      </c>
      <c r="J78" s="80"/>
      <c r="K78" s="81">
        <f t="shared" si="29"/>
        <v>0</v>
      </c>
      <c r="L78" s="456"/>
      <c r="M78" s="73">
        <f t="shared" si="30"/>
        <v>3.32218671051624E-4</v>
      </c>
    </row>
    <row r="79" spans="1:21" x14ac:dyDescent="0.25">
      <c r="A79" s="82" t="s">
        <v>595</v>
      </c>
      <c r="B79" s="93" t="s">
        <v>631</v>
      </c>
      <c r="C79" s="94" t="s">
        <v>275</v>
      </c>
      <c r="D79" s="186" t="s">
        <v>645</v>
      </c>
      <c r="E79" s="90" t="s">
        <v>185</v>
      </c>
      <c r="F79" s="199">
        <v>2</v>
      </c>
      <c r="G79" s="214">
        <v>9.35</v>
      </c>
      <c r="H79" s="78">
        <f t="shared" si="28"/>
        <v>18.7</v>
      </c>
      <c r="I79" s="79">
        <f t="shared" si="27"/>
        <v>0</v>
      </c>
      <c r="J79" s="80"/>
      <c r="K79" s="81">
        <f t="shared" si="29"/>
        <v>0</v>
      </c>
      <c r="L79" s="456"/>
      <c r="M79" s="73">
        <f t="shared" si="30"/>
        <v>3.3842985425920475E-5</v>
      </c>
    </row>
    <row r="80" spans="1:21" x14ac:dyDescent="0.25">
      <c r="A80" s="82" t="s">
        <v>596</v>
      </c>
      <c r="B80" s="93" t="s">
        <v>632</v>
      </c>
      <c r="C80" s="94" t="s">
        <v>275</v>
      </c>
      <c r="D80" s="186" t="s">
        <v>643</v>
      </c>
      <c r="E80" s="90" t="s">
        <v>185</v>
      </c>
      <c r="F80" s="199">
        <v>21.9</v>
      </c>
      <c r="G80" s="214">
        <v>19.21</v>
      </c>
      <c r="H80" s="78">
        <f t="shared" si="28"/>
        <v>420.69900000000001</v>
      </c>
      <c r="I80" s="79">
        <f t="shared" si="27"/>
        <v>0</v>
      </c>
      <c r="J80" s="80"/>
      <c r="K80" s="81">
        <f t="shared" si="29"/>
        <v>0</v>
      </c>
      <c r="L80" s="456"/>
      <c r="M80" s="73">
        <f t="shared" si="30"/>
        <v>7.613748730320491E-4</v>
      </c>
    </row>
    <row r="81" spans="1:13" x14ac:dyDescent="0.25">
      <c r="A81" s="82" t="s">
        <v>597</v>
      </c>
      <c r="B81" s="93" t="s">
        <v>633</v>
      </c>
      <c r="C81" s="94" t="s">
        <v>275</v>
      </c>
      <c r="D81" s="186" t="s">
        <v>647</v>
      </c>
      <c r="E81" s="90" t="s">
        <v>185</v>
      </c>
      <c r="F81" s="199">
        <v>0.6</v>
      </c>
      <c r="G81" s="214">
        <v>30.6</v>
      </c>
      <c r="H81" s="78">
        <f t="shared" si="28"/>
        <v>18.36</v>
      </c>
      <c r="I81" s="79">
        <f t="shared" si="27"/>
        <v>0</v>
      </c>
      <c r="J81" s="80"/>
      <c r="K81" s="81">
        <f t="shared" si="29"/>
        <v>0</v>
      </c>
      <c r="L81" s="456"/>
      <c r="M81" s="73">
        <f t="shared" si="30"/>
        <v>3.3227658418176465E-5</v>
      </c>
    </row>
    <row r="82" spans="1:13" x14ac:dyDescent="0.25">
      <c r="A82" s="82" t="s">
        <v>598</v>
      </c>
      <c r="B82" s="93" t="s">
        <v>634</v>
      </c>
      <c r="C82" s="94" t="s">
        <v>275</v>
      </c>
      <c r="D82" s="186" t="s">
        <v>644</v>
      </c>
      <c r="E82" s="90" t="s">
        <v>185</v>
      </c>
      <c r="F82" s="199">
        <v>401.8</v>
      </c>
      <c r="G82" s="214">
        <v>9.9</v>
      </c>
      <c r="H82" s="78">
        <f t="shared" si="28"/>
        <v>3977.82</v>
      </c>
      <c r="I82" s="79">
        <f t="shared" si="27"/>
        <v>0</v>
      </c>
      <c r="J82" s="80"/>
      <c r="K82" s="81">
        <f t="shared" si="29"/>
        <v>0</v>
      </c>
      <c r="L82" s="456"/>
      <c r="M82" s="73">
        <f t="shared" si="30"/>
        <v>7.1990002292478599E-3</v>
      </c>
    </row>
    <row r="83" spans="1:13" x14ac:dyDescent="0.25">
      <c r="A83" s="82" t="s">
        <v>599</v>
      </c>
      <c r="B83" s="363" t="s">
        <v>501</v>
      </c>
      <c r="C83" s="94" t="s">
        <v>275</v>
      </c>
      <c r="D83" s="364" t="s">
        <v>505</v>
      </c>
      <c r="E83" s="365" t="s">
        <v>185</v>
      </c>
      <c r="F83" s="199">
        <v>2018.6</v>
      </c>
      <c r="G83" s="214">
        <v>2</v>
      </c>
      <c r="H83" s="78">
        <f t="shared" si="28"/>
        <v>4037.2</v>
      </c>
      <c r="I83" s="79">
        <f t="shared" si="27"/>
        <v>0</v>
      </c>
      <c r="J83" s="80"/>
      <c r="K83" s="81">
        <f t="shared" si="29"/>
        <v>0</v>
      </c>
      <c r="L83" s="456"/>
      <c r="M83" s="73">
        <f t="shared" ref="M83:M100" si="31">H83/$H$167</f>
        <v>7.3064652813650335E-3</v>
      </c>
    </row>
    <row r="84" spans="1:13" x14ac:dyDescent="0.25">
      <c r="A84" s="82" t="s">
        <v>600</v>
      </c>
      <c r="B84" s="363" t="s">
        <v>502</v>
      </c>
      <c r="C84" s="94" t="s">
        <v>275</v>
      </c>
      <c r="D84" s="364" t="s">
        <v>508</v>
      </c>
      <c r="E84" s="365" t="s">
        <v>185</v>
      </c>
      <c r="F84" s="199">
        <v>617</v>
      </c>
      <c r="G84" s="214">
        <v>5.37</v>
      </c>
      <c r="H84" s="78">
        <f t="shared" si="28"/>
        <v>3313.29</v>
      </c>
      <c r="I84" s="79">
        <f t="shared" si="27"/>
        <v>0</v>
      </c>
      <c r="J84" s="80"/>
      <c r="K84" s="81">
        <f t="shared" si="29"/>
        <v>0</v>
      </c>
      <c r="L84" s="456"/>
      <c r="M84" s="73">
        <f t="shared" si="31"/>
        <v>5.9963435926121949E-3</v>
      </c>
    </row>
    <row r="85" spans="1:13" x14ac:dyDescent="0.25">
      <c r="A85" s="82" t="s">
        <v>601</v>
      </c>
      <c r="B85" s="363" t="s">
        <v>503</v>
      </c>
      <c r="C85" s="94" t="s">
        <v>275</v>
      </c>
      <c r="D85" s="364" t="s">
        <v>509</v>
      </c>
      <c r="E85" s="365" t="s">
        <v>185</v>
      </c>
      <c r="F85" s="199">
        <v>1.7</v>
      </c>
      <c r="G85" s="214">
        <v>9.64</v>
      </c>
      <c r="H85" s="78">
        <f t="shared" si="28"/>
        <v>16.388000000000002</v>
      </c>
      <c r="I85" s="79">
        <f t="shared" si="27"/>
        <v>0</v>
      </c>
      <c r="J85" s="80"/>
      <c r="K85" s="81">
        <f t="shared" si="29"/>
        <v>0</v>
      </c>
      <c r="L85" s="456"/>
      <c r="M85" s="73">
        <f t="shared" si="31"/>
        <v>2.9658761773261217E-5</v>
      </c>
    </row>
    <row r="86" spans="1:13" x14ac:dyDescent="0.25">
      <c r="A86" s="82" t="s">
        <v>602</v>
      </c>
      <c r="B86" s="363" t="s">
        <v>504</v>
      </c>
      <c r="C86" s="94" t="s">
        <v>275</v>
      </c>
      <c r="D86" s="364" t="s">
        <v>510</v>
      </c>
      <c r="E86" s="365" t="s">
        <v>185</v>
      </c>
      <c r="F86" s="199">
        <v>6.5</v>
      </c>
      <c r="G86" s="214">
        <v>14.09</v>
      </c>
      <c r="H86" s="78">
        <f t="shared" si="28"/>
        <v>91.584999999999994</v>
      </c>
      <c r="I86" s="79">
        <f t="shared" si="27"/>
        <v>0</v>
      </c>
      <c r="J86" s="80"/>
      <c r="K86" s="81">
        <f t="shared" si="29"/>
        <v>0</v>
      </c>
      <c r="L86" s="456"/>
      <c r="M86" s="73">
        <f t="shared" si="31"/>
        <v>1.6574918824775007E-4</v>
      </c>
    </row>
    <row r="87" spans="1:13" x14ac:dyDescent="0.25">
      <c r="A87" s="82" t="s">
        <v>603</v>
      </c>
      <c r="B87" s="363" t="s">
        <v>513</v>
      </c>
      <c r="C87" s="94" t="s">
        <v>275</v>
      </c>
      <c r="D87" s="364" t="s">
        <v>517</v>
      </c>
      <c r="E87" s="365" t="s">
        <v>5</v>
      </c>
      <c r="F87" s="199">
        <v>18</v>
      </c>
      <c r="G87" s="214">
        <v>10.31</v>
      </c>
      <c r="H87" s="78">
        <f t="shared" si="28"/>
        <v>185.58</v>
      </c>
      <c r="I87" s="79">
        <f t="shared" si="27"/>
        <v>0</v>
      </c>
      <c r="J87" s="80"/>
      <c r="K87" s="81">
        <f t="shared" si="29"/>
        <v>0</v>
      </c>
      <c r="L87" s="456"/>
      <c r="M87" s="73">
        <f t="shared" si="31"/>
        <v>3.358599591092151E-4</v>
      </c>
    </row>
    <row r="88" spans="1:13" x14ac:dyDescent="0.25">
      <c r="A88" s="82" t="s">
        <v>604</v>
      </c>
      <c r="B88" s="363" t="s">
        <v>514</v>
      </c>
      <c r="C88" s="94" t="s">
        <v>275</v>
      </c>
      <c r="D88" s="364" t="s">
        <v>517</v>
      </c>
      <c r="E88" s="365" t="s">
        <v>5</v>
      </c>
      <c r="F88" s="199">
        <v>39</v>
      </c>
      <c r="G88" s="214">
        <v>10.31</v>
      </c>
      <c r="H88" s="78">
        <f t="shared" si="28"/>
        <v>402.09000000000003</v>
      </c>
      <c r="I88" s="79">
        <f t="shared" si="27"/>
        <v>0</v>
      </c>
      <c r="J88" s="80"/>
      <c r="K88" s="81">
        <f t="shared" si="29"/>
        <v>0</v>
      </c>
      <c r="L88" s="456"/>
      <c r="M88" s="73">
        <f t="shared" si="31"/>
        <v>7.2769657806996603E-4</v>
      </c>
    </row>
    <row r="89" spans="1:13" x14ac:dyDescent="0.25">
      <c r="A89" s="82" t="s">
        <v>605</v>
      </c>
      <c r="B89" s="363" t="s">
        <v>515</v>
      </c>
      <c r="C89" s="94" t="s">
        <v>275</v>
      </c>
      <c r="D89" s="364" t="s">
        <v>517</v>
      </c>
      <c r="E89" s="365" t="s">
        <v>5</v>
      </c>
      <c r="F89" s="199">
        <v>7</v>
      </c>
      <c r="G89" s="214">
        <v>10.31</v>
      </c>
      <c r="H89" s="78">
        <f t="shared" si="28"/>
        <v>72.17</v>
      </c>
      <c r="I89" s="79">
        <f t="shared" si="27"/>
        <v>0</v>
      </c>
      <c r="J89" s="80"/>
      <c r="K89" s="81">
        <f t="shared" si="29"/>
        <v>0</v>
      </c>
      <c r="L89" s="456"/>
      <c r="M89" s="73">
        <f t="shared" si="31"/>
        <v>1.306122063202503E-4</v>
      </c>
    </row>
    <row r="90" spans="1:13" x14ac:dyDescent="0.25">
      <c r="A90" s="82" t="s">
        <v>606</v>
      </c>
      <c r="B90" s="363" t="s">
        <v>516</v>
      </c>
      <c r="C90" s="94" t="s">
        <v>275</v>
      </c>
      <c r="D90" s="364" t="s">
        <v>517</v>
      </c>
      <c r="E90" s="365" t="s">
        <v>5</v>
      </c>
      <c r="F90" s="199">
        <v>7</v>
      </c>
      <c r="G90" s="214">
        <v>10.31</v>
      </c>
      <c r="H90" s="78">
        <f t="shared" si="28"/>
        <v>72.17</v>
      </c>
      <c r="I90" s="79">
        <f t="shared" si="27"/>
        <v>0</v>
      </c>
      <c r="J90" s="80"/>
      <c r="K90" s="81">
        <f t="shared" si="29"/>
        <v>0</v>
      </c>
      <c r="L90" s="456"/>
      <c r="M90" s="73">
        <f t="shared" si="31"/>
        <v>1.306122063202503E-4</v>
      </c>
    </row>
    <row r="91" spans="1:13" x14ac:dyDescent="0.25">
      <c r="A91" s="82" t="s">
        <v>607</v>
      </c>
      <c r="B91" s="363" t="s">
        <v>519</v>
      </c>
      <c r="C91" s="94" t="s">
        <v>271</v>
      </c>
      <c r="D91" s="364" t="s">
        <v>518</v>
      </c>
      <c r="E91" s="365" t="s">
        <v>5</v>
      </c>
      <c r="F91" s="199">
        <v>4</v>
      </c>
      <c r="G91" s="214">
        <v>104.14</v>
      </c>
      <c r="H91" s="78">
        <f t="shared" si="28"/>
        <v>416.56</v>
      </c>
      <c r="I91" s="79">
        <f t="shared" si="27"/>
        <v>0</v>
      </c>
      <c r="J91" s="80"/>
      <c r="K91" s="81">
        <f t="shared" si="29"/>
        <v>0</v>
      </c>
      <c r="L91" s="456"/>
      <c r="M91" s="73">
        <f t="shared" si="31"/>
        <v>7.5388417160542423E-4</v>
      </c>
    </row>
    <row r="92" spans="1:13" x14ac:dyDescent="0.25">
      <c r="A92" s="82" t="s">
        <v>608</v>
      </c>
      <c r="B92" s="363" t="s">
        <v>520</v>
      </c>
      <c r="C92" s="94" t="s">
        <v>275</v>
      </c>
      <c r="D92" s="364" t="s">
        <v>518</v>
      </c>
      <c r="E92" s="365" t="s">
        <v>5</v>
      </c>
      <c r="F92" s="199">
        <v>1</v>
      </c>
      <c r="G92" s="214">
        <v>104.14</v>
      </c>
      <c r="H92" s="78">
        <f t="shared" si="28"/>
        <v>104.14</v>
      </c>
      <c r="I92" s="79">
        <f t="shared" si="27"/>
        <v>0</v>
      </c>
      <c r="J92" s="80"/>
      <c r="K92" s="81">
        <f t="shared" si="29"/>
        <v>0</v>
      </c>
      <c r="L92" s="456"/>
      <c r="M92" s="73">
        <f t="shared" si="31"/>
        <v>1.8847104290135606E-4</v>
      </c>
    </row>
    <row r="93" spans="1:13" x14ac:dyDescent="0.25">
      <c r="A93" s="82" t="s">
        <v>609</v>
      </c>
      <c r="B93" s="363" t="s">
        <v>522</v>
      </c>
      <c r="C93" s="94" t="s">
        <v>275</v>
      </c>
      <c r="D93" s="364" t="s">
        <v>525</v>
      </c>
      <c r="E93" s="365" t="s">
        <v>5</v>
      </c>
      <c r="F93" s="199">
        <v>4</v>
      </c>
      <c r="G93" s="214">
        <v>67.23</v>
      </c>
      <c r="H93" s="78">
        <f t="shared" si="28"/>
        <v>268.92</v>
      </c>
      <c r="I93" s="79">
        <f t="shared" si="27"/>
        <v>0</v>
      </c>
      <c r="J93" s="80"/>
      <c r="K93" s="81">
        <f t="shared" si="29"/>
        <v>0</v>
      </c>
      <c r="L93" s="456"/>
      <c r="M93" s="73">
        <f t="shared" si="31"/>
        <v>4.8668746741917294E-4</v>
      </c>
    </row>
    <row r="94" spans="1:13" x14ac:dyDescent="0.25">
      <c r="A94" s="82" t="s">
        <v>635</v>
      </c>
      <c r="B94" s="363" t="s">
        <v>523</v>
      </c>
      <c r="C94" s="94" t="s">
        <v>275</v>
      </c>
      <c r="D94" s="364" t="s">
        <v>525</v>
      </c>
      <c r="E94" s="365" t="s">
        <v>5</v>
      </c>
      <c r="F94" s="199">
        <v>2</v>
      </c>
      <c r="G94" s="214">
        <v>67.23</v>
      </c>
      <c r="H94" s="78">
        <f t="shared" si="28"/>
        <v>134.46</v>
      </c>
      <c r="I94" s="79">
        <f t="shared" si="27"/>
        <v>0</v>
      </c>
      <c r="J94" s="80"/>
      <c r="K94" s="81">
        <f t="shared" si="29"/>
        <v>0</v>
      </c>
      <c r="L94" s="456"/>
      <c r="M94" s="73">
        <f t="shared" si="31"/>
        <v>2.4334373370958647E-4</v>
      </c>
    </row>
    <row r="95" spans="1:13" x14ac:dyDescent="0.25">
      <c r="A95" s="82" t="s">
        <v>636</v>
      </c>
      <c r="B95" s="363" t="s">
        <v>524</v>
      </c>
      <c r="C95" s="94" t="s">
        <v>275</v>
      </c>
      <c r="D95" s="364" t="s">
        <v>525</v>
      </c>
      <c r="E95" s="365" t="s">
        <v>5</v>
      </c>
      <c r="F95" s="199">
        <v>3</v>
      </c>
      <c r="G95" s="214">
        <v>67.23</v>
      </c>
      <c r="H95" s="78">
        <f t="shared" si="28"/>
        <v>201.69</v>
      </c>
      <c r="I95" s="79">
        <f t="shared" si="27"/>
        <v>0</v>
      </c>
      <c r="J95" s="80"/>
      <c r="K95" s="81">
        <f t="shared" si="29"/>
        <v>0</v>
      </c>
      <c r="L95" s="456"/>
      <c r="M95" s="73">
        <f t="shared" si="31"/>
        <v>3.6501560056437969E-4</v>
      </c>
    </row>
    <row r="96" spans="1:13" x14ac:dyDescent="0.25">
      <c r="A96" s="82" t="s">
        <v>637</v>
      </c>
      <c r="B96" s="363" t="s">
        <v>521</v>
      </c>
      <c r="C96" s="94" t="s">
        <v>275</v>
      </c>
      <c r="D96" s="364" t="s">
        <v>526</v>
      </c>
      <c r="E96" s="365" t="s">
        <v>5</v>
      </c>
      <c r="F96" s="199">
        <v>1</v>
      </c>
      <c r="G96" s="214">
        <v>90.45</v>
      </c>
      <c r="H96" s="78">
        <f t="shared" si="28"/>
        <v>90.45</v>
      </c>
      <c r="I96" s="79">
        <f t="shared" si="27"/>
        <v>0</v>
      </c>
      <c r="J96" s="80"/>
      <c r="K96" s="81">
        <f t="shared" si="29"/>
        <v>0</v>
      </c>
      <c r="L96" s="456"/>
      <c r="M96" s="73">
        <f t="shared" si="31"/>
        <v>1.6369508191307525E-4</v>
      </c>
    </row>
    <row r="97" spans="1:13" ht="29.25" x14ac:dyDescent="0.25">
      <c r="A97" s="82" t="s">
        <v>638</v>
      </c>
      <c r="B97" s="363" t="s">
        <v>528</v>
      </c>
      <c r="C97" s="94" t="s">
        <v>275</v>
      </c>
      <c r="D97" s="94" t="s">
        <v>530</v>
      </c>
      <c r="E97" s="365" t="s">
        <v>5</v>
      </c>
      <c r="F97" s="199">
        <v>1</v>
      </c>
      <c r="G97" s="214">
        <v>710.37</v>
      </c>
      <c r="H97" s="78">
        <f t="shared" si="28"/>
        <v>710.37</v>
      </c>
      <c r="I97" s="79">
        <f t="shared" si="27"/>
        <v>0</v>
      </c>
      <c r="J97" s="80"/>
      <c r="K97" s="81">
        <f t="shared" si="29"/>
        <v>0</v>
      </c>
      <c r="L97" s="456"/>
      <c r="M97" s="73">
        <f t="shared" si="31"/>
        <v>1.2856171955620923E-3</v>
      </c>
    </row>
    <row r="98" spans="1:13" ht="29.25" x14ac:dyDescent="0.25">
      <c r="A98" s="82" t="s">
        <v>639</v>
      </c>
      <c r="B98" s="363" t="s">
        <v>529</v>
      </c>
      <c r="C98" s="94" t="s">
        <v>275</v>
      </c>
      <c r="D98" s="94" t="s">
        <v>531</v>
      </c>
      <c r="E98" s="365" t="s">
        <v>5</v>
      </c>
      <c r="F98" s="199">
        <v>2</v>
      </c>
      <c r="G98" s="214">
        <v>443.38</v>
      </c>
      <c r="H98" s="78">
        <f t="shared" si="28"/>
        <v>886.76</v>
      </c>
      <c r="I98" s="79">
        <f t="shared" si="27"/>
        <v>0</v>
      </c>
      <c r="J98" s="80"/>
      <c r="K98" s="81">
        <f t="shared" si="29"/>
        <v>0</v>
      </c>
      <c r="L98" s="456"/>
      <c r="M98" s="73">
        <f t="shared" si="31"/>
        <v>1.6048452276090502E-3</v>
      </c>
    </row>
    <row r="99" spans="1:13" ht="29.25" x14ac:dyDescent="0.25">
      <c r="A99" s="82" t="s">
        <v>640</v>
      </c>
      <c r="B99" s="363" t="s">
        <v>527</v>
      </c>
      <c r="C99" s="94" t="s">
        <v>275</v>
      </c>
      <c r="D99" s="94" t="s">
        <v>531</v>
      </c>
      <c r="E99" s="365" t="s">
        <v>5</v>
      </c>
      <c r="F99" s="199">
        <v>4</v>
      </c>
      <c r="G99" s="214">
        <v>443.38</v>
      </c>
      <c r="H99" s="78">
        <f t="shared" si="28"/>
        <v>1773.52</v>
      </c>
      <c r="I99" s="79">
        <f t="shared" si="27"/>
        <v>0</v>
      </c>
      <c r="J99" s="80"/>
      <c r="K99" s="81">
        <f t="shared" si="29"/>
        <v>0</v>
      </c>
      <c r="L99" s="456"/>
      <c r="M99" s="73">
        <f t="shared" si="31"/>
        <v>3.2096904552181005E-3</v>
      </c>
    </row>
    <row r="100" spans="1:13" ht="29.25" x14ac:dyDescent="0.25">
      <c r="A100" s="82" t="s">
        <v>641</v>
      </c>
      <c r="B100" s="363" t="s">
        <v>533</v>
      </c>
      <c r="C100" s="94" t="s">
        <v>138</v>
      </c>
      <c r="D100" s="186" t="s">
        <v>532</v>
      </c>
      <c r="E100" s="365" t="s">
        <v>5</v>
      </c>
      <c r="F100" s="199">
        <v>3</v>
      </c>
      <c r="G100" s="214">
        <v>51.02</v>
      </c>
      <c r="H100" s="78">
        <f t="shared" si="24"/>
        <v>153.06</v>
      </c>
      <c r="I100" s="79">
        <f t="shared" si="25"/>
        <v>0</v>
      </c>
      <c r="J100" s="80"/>
      <c r="K100" s="81">
        <f t="shared" si="26"/>
        <v>0</v>
      </c>
      <c r="L100" s="477"/>
      <c r="M100" s="73">
        <f t="shared" si="31"/>
        <v>2.7700574060381751E-4</v>
      </c>
    </row>
    <row r="101" spans="1:13" x14ac:dyDescent="0.25">
      <c r="A101" s="478"/>
      <c r="B101" s="479"/>
      <c r="C101" s="479"/>
      <c r="D101" s="479"/>
      <c r="E101" s="479"/>
      <c r="F101" s="479"/>
      <c r="G101" s="479"/>
      <c r="H101" s="479"/>
      <c r="I101" s="479"/>
      <c r="J101" s="479"/>
      <c r="K101" s="479"/>
      <c r="L101" s="480"/>
      <c r="M101" s="73"/>
    </row>
    <row r="102" spans="1:13" x14ac:dyDescent="0.25">
      <c r="A102" s="67" t="s">
        <v>319</v>
      </c>
      <c r="B102" s="102" t="s">
        <v>495</v>
      </c>
      <c r="C102" s="103"/>
      <c r="D102" s="149"/>
      <c r="E102" s="87"/>
      <c r="F102" s="201"/>
      <c r="G102" s="198"/>
      <c r="H102" s="95">
        <f>SUM(H103:H104)</f>
        <v>4951.1399999999994</v>
      </c>
      <c r="I102" s="72">
        <f>IF(L102=0,0,(L102/H102-1))</f>
        <v>0</v>
      </c>
      <c r="J102" s="96"/>
      <c r="K102" s="96"/>
      <c r="L102" s="96">
        <f>SUM(K103:K104)</f>
        <v>0</v>
      </c>
      <c r="M102" s="73">
        <f>H102/$H$167</f>
        <v>8.9605004738872659E-3</v>
      </c>
    </row>
    <row r="103" spans="1:13" x14ac:dyDescent="0.25">
      <c r="A103" s="82" t="s">
        <v>320</v>
      </c>
      <c r="B103" s="93" t="s">
        <v>32</v>
      </c>
      <c r="C103" s="94" t="s">
        <v>271</v>
      </c>
      <c r="D103" s="186" t="s">
        <v>439</v>
      </c>
      <c r="E103" s="365" t="s">
        <v>5</v>
      </c>
      <c r="F103" s="199">
        <v>26</v>
      </c>
      <c r="G103" s="214">
        <v>148.31</v>
      </c>
      <c r="H103" s="78">
        <f t="shared" ref="H103:H104" si="32">F103*G103</f>
        <v>3856.06</v>
      </c>
      <c r="I103" s="79">
        <f t="shared" ref="I103:I104" si="33">IF(J103="",0,(J103/G103-1))</f>
        <v>0</v>
      </c>
      <c r="J103" s="80"/>
      <c r="K103" s="81">
        <f t="shared" ref="K103:K104" si="34">J103*F103</f>
        <v>0</v>
      </c>
      <c r="L103" s="455"/>
      <c r="M103" s="73">
        <f>H103/$H$167</f>
        <v>6.9786407690628285E-3</v>
      </c>
    </row>
    <row r="104" spans="1:13" x14ac:dyDescent="0.25">
      <c r="A104" s="82" t="s">
        <v>321</v>
      </c>
      <c r="B104" s="93" t="s">
        <v>101</v>
      </c>
      <c r="C104" s="94" t="s">
        <v>271</v>
      </c>
      <c r="D104" s="186" t="s">
        <v>440</v>
      </c>
      <c r="E104" s="90" t="s">
        <v>5</v>
      </c>
      <c r="F104" s="199">
        <v>14</v>
      </c>
      <c r="G104" s="214">
        <v>78.22</v>
      </c>
      <c r="H104" s="78">
        <f t="shared" si="32"/>
        <v>1095.08</v>
      </c>
      <c r="I104" s="79">
        <f t="shared" si="33"/>
        <v>0</v>
      </c>
      <c r="J104" s="80"/>
      <c r="K104" s="81">
        <f t="shared" si="34"/>
        <v>0</v>
      </c>
      <c r="L104" s="456"/>
      <c r="M104" s="73">
        <f>H104/$H$167</f>
        <v>1.9818597048244378E-3</v>
      </c>
    </row>
    <row r="105" spans="1:13" x14ac:dyDescent="0.25">
      <c r="A105" s="357"/>
      <c r="B105" s="358"/>
      <c r="C105" s="358"/>
      <c r="D105" s="358"/>
      <c r="E105" s="358"/>
      <c r="F105" s="358"/>
      <c r="G105" s="358"/>
      <c r="H105" s="358"/>
      <c r="I105" s="358"/>
      <c r="J105" s="358"/>
      <c r="K105" s="358"/>
      <c r="L105" s="359"/>
      <c r="M105" s="73"/>
    </row>
    <row r="106" spans="1:13" x14ac:dyDescent="0.25">
      <c r="A106" s="67" t="s">
        <v>322</v>
      </c>
      <c r="B106" s="102" t="s">
        <v>312</v>
      </c>
      <c r="C106" s="103"/>
      <c r="D106" s="149"/>
      <c r="E106" s="87"/>
      <c r="F106" s="201"/>
      <c r="G106" s="198"/>
      <c r="H106" s="95">
        <f>SUM(H107:H108)</f>
        <v>4498.3931999999995</v>
      </c>
      <c r="I106" s="72">
        <f>IF(L106=0,0,(L106/H106-1))</f>
        <v>0</v>
      </c>
      <c r="J106" s="96"/>
      <c r="K106" s="96"/>
      <c r="L106" s="96">
        <f>SUM(K107)</f>
        <v>0</v>
      </c>
      <c r="M106" s="73">
        <f>H106/$H$167</f>
        <v>8.1411259629764563E-3</v>
      </c>
    </row>
    <row r="107" spans="1:13" x14ac:dyDescent="0.25">
      <c r="A107" s="82" t="s">
        <v>497</v>
      </c>
      <c r="B107" s="93" t="s">
        <v>117</v>
      </c>
      <c r="C107" s="112" t="s">
        <v>271</v>
      </c>
      <c r="D107" s="186" t="s">
        <v>372</v>
      </c>
      <c r="E107" s="90" t="s">
        <v>10</v>
      </c>
      <c r="F107" s="199">
        <v>65.239999999999995</v>
      </c>
      <c r="G107" s="214">
        <v>66</v>
      </c>
      <c r="H107" s="78">
        <f t="shared" ref="H107:H108" si="35">F107*G107</f>
        <v>4305.8399999999992</v>
      </c>
      <c r="I107" s="79">
        <f>IF(J107="",0,(J107/G107-1))</f>
        <v>0</v>
      </c>
      <c r="J107" s="80"/>
      <c r="K107" s="81">
        <f>J107*F107</f>
        <v>0</v>
      </c>
      <c r="L107" s="455"/>
      <c r="M107" s="73">
        <f>H107/$H$167</f>
        <v>7.7926460088954749E-3</v>
      </c>
    </row>
    <row r="108" spans="1:13" x14ac:dyDescent="0.25">
      <c r="A108" s="82" t="s">
        <v>498</v>
      </c>
      <c r="B108" s="93" t="s">
        <v>435</v>
      </c>
      <c r="C108" s="112" t="s">
        <v>275</v>
      </c>
      <c r="D108" s="186" t="s">
        <v>432</v>
      </c>
      <c r="E108" s="90" t="s">
        <v>10</v>
      </c>
      <c r="F108" s="199">
        <v>19.809999999999999</v>
      </c>
      <c r="G108" s="214">
        <v>9.7200000000000006</v>
      </c>
      <c r="H108" s="78">
        <f t="shared" si="35"/>
        <v>192.5532</v>
      </c>
      <c r="I108" s="79">
        <f>IF(J108="",0,(J108/G108-1))</f>
        <v>0</v>
      </c>
      <c r="J108" s="80"/>
      <c r="K108" s="81">
        <f>J108*F108</f>
        <v>0</v>
      </c>
      <c r="L108" s="477"/>
      <c r="M108" s="73">
        <f>H108/$H$167</f>
        <v>3.4847995408098127E-4</v>
      </c>
    </row>
    <row r="109" spans="1:13" x14ac:dyDescent="0.25">
      <c r="A109" s="478"/>
      <c r="B109" s="479"/>
      <c r="C109" s="479"/>
      <c r="D109" s="479"/>
      <c r="E109" s="479"/>
      <c r="F109" s="479"/>
      <c r="G109" s="479"/>
      <c r="H109" s="479"/>
      <c r="I109" s="479"/>
      <c r="J109" s="479"/>
      <c r="K109" s="479"/>
      <c r="L109" s="480"/>
      <c r="M109" s="73"/>
    </row>
    <row r="110" spans="1:13" x14ac:dyDescent="0.25">
      <c r="A110" s="67" t="s">
        <v>324</v>
      </c>
      <c r="B110" s="102" t="s">
        <v>379</v>
      </c>
      <c r="C110" s="103"/>
      <c r="D110" s="149"/>
      <c r="E110" s="87"/>
      <c r="F110" s="201"/>
      <c r="G110" s="198"/>
      <c r="H110" s="95">
        <f>SUM(H111:H119)</f>
        <v>5997.78</v>
      </c>
      <c r="I110" s="72">
        <f>IF(L110=0,0,(L110/H110-1))</f>
        <v>0</v>
      </c>
      <c r="J110" s="96"/>
      <c r="K110" s="96"/>
      <c r="L110" s="96">
        <f>SUM(K111:K119)</f>
        <v>0</v>
      </c>
      <c r="M110" s="73">
        <f t="shared" ref="M110:M119" si="36">H110/$H$167</f>
        <v>1.0854694177961352E-2</v>
      </c>
    </row>
    <row r="111" spans="1:13" x14ac:dyDescent="0.25">
      <c r="A111" s="82" t="s">
        <v>535</v>
      </c>
      <c r="B111" s="93" t="s">
        <v>118</v>
      </c>
      <c r="C111" s="94" t="s">
        <v>275</v>
      </c>
      <c r="D111" s="186">
        <v>86901</v>
      </c>
      <c r="E111" s="90" t="s">
        <v>5</v>
      </c>
      <c r="F111" s="199">
        <v>5</v>
      </c>
      <c r="G111" s="214">
        <v>73.02</v>
      </c>
      <c r="H111" s="78">
        <f t="shared" ref="H111:H119" si="37">F111*G111</f>
        <v>365.09999999999997</v>
      </c>
      <c r="I111" s="79">
        <f t="shared" ref="I111:I119" si="38">IF(J111="",0,(J111/G111-1))</f>
        <v>0</v>
      </c>
      <c r="J111" s="80"/>
      <c r="K111" s="81">
        <f t="shared" ref="K111:K119" si="39">J111*F111</f>
        <v>0</v>
      </c>
      <c r="L111" s="455"/>
      <c r="M111" s="73">
        <f t="shared" si="36"/>
        <v>6.6075261919805158E-4</v>
      </c>
    </row>
    <row r="112" spans="1:13" x14ac:dyDescent="0.25">
      <c r="A112" s="82" t="s">
        <v>536</v>
      </c>
      <c r="B112" s="93" t="s">
        <v>119</v>
      </c>
      <c r="C112" s="94" t="s">
        <v>275</v>
      </c>
      <c r="D112" s="186">
        <v>86932</v>
      </c>
      <c r="E112" s="99" t="s">
        <v>5</v>
      </c>
      <c r="F112" s="199">
        <v>11</v>
      </c>
      <c r="G112" s="214">
        <v>277.55</v>
      </c>
      <c r="H112" s="78">
        <f t="shared" si="37"/>
        <v>3053.05</v>
      </c>
      <c r="I112" s="79">
        <f t="shared" si="38"/>
        <v>0</v>
      </c>
      <c r="J112" s="80"/>
      <c r="K112" s="81">
        <f t="shared" si="39"/>
        <v>0</v>
      </c>
      <c r="L112" s="456"/>
      <c r="M112" s="73">
        <f t="shared" si="36"/>
        <v>5.525365061743664E-3</v>
      </c>
    </row>
    <row r="113" spans="1:13" x14ac:dyDescent="0.25">
      <c r="A113" s="82" t="s">
        <v>537</v>
      </c>
      <c r="B113" s="83" t="s">
        <v>107</v>
      </c>
      <c r="C113" s="84" t="s">
        <v>271</v>
      </c>
      <c r="D113" s="186" t="s">
        <v>385</v>
      </c>
      <c r="E113" s="90" t="s">
        <v>5</v>
      </c>
      <c r="F113" s="199">
        <v>2</v>
      </c>
      <c r="G113" s="214">
        <v>40.340000000000003</v>
      </c>
      <c r="H113" s="78">
        <f t="shared" si="37"/>
        <v>80.680000000000007</v>
      </c>
      <c r="I113" s="79">
        <f t="shared" si="38"/>
        <v>0</v>
      </c>
      <c r="J113" s="80"/>
      <c r="K113" s="81">
        <f t="shared" si="39"/>
        <v>0</v>
      </c>
      <c r="L113" s="456"/>
      <c r="M113" s="73">
        <f t="shared" si="36"/>
        <v>1.4601347936701948E-4</v>
      </c>
    </row>
    <row r="114" spans="1:13" x14ac:dyDescent="0.25">
      <c r="A114" s="82" t="s">
        <v>538</v>
      </c>
      <c r="B114" s="93" t="s">
        <v>108</v>
      </c>
      <c r="C114" s="94" t="s">
        <v>275</v>
      </c>
      <c r="D114" s="186">
        <v>7609</v>
      </c>
      <c r="E114" s="90" t="s">
        <v>5</v>
      </c>
      <c r="F114" s="199">
        <v>2</v>
      </c>
      <c r="G114" s="214">
        <v>46</v>
      </c>
      <c r="H114" s="78">
        <f t="shared" si="37"/>
        <v>92</v>
      </c>
      <c r="I114" s="79">
        <f t="shared" si="38"/>
        <v>0</v>
      </c>
      <c r="J114" s="80"/>
      <c r="K114" s="81">
        <f t="shared" si="39"/>
        <v>0</v>
      </c>
      <c r="L114" s="456"/>
      <c r="M114" s="73">
        <f t="shared" si="36"/>
        <v>1.6650024915426114E-4</v>
      </c>
    </row>
    <row r="115" spans="1:13" x14ac:dyDescent="0.25">
      <c r="A115" s="82" t="s">
        <v>539</v>
      </c>
      <c r="B115" s="93" t="s">
        <v>109</v>
      </c>
      <c r="C115" s="94" t="s">
        <v>271</v>
      </c>
      <c r="D115" s="186" t="s">
        <v>386</v>
      </c>
      <c r="E115" s="99" t="s">
        <v>5</v>
      </c>
      <c r="F115" s="199">
        <v>5</v>
      </c>
      <c r="G115" s="214">
        <v>15.27</v>
      </c>
      <c r="H115" s="78">
        <f t="shared" si="37"/>
        <v>76.349999999999994</v>
      </c>
      <c r="I115" s="79">
        <f t="shared" si="38"/>
        <v>0</v>
      </c>
      <c r="J115" s="80"/>
      <c r="K115" s="81">
        <f t="shared" si="39"/>
        <v>0</v>
      </c>
      <c r="L115" s="456"/>
      <c r="M115" s="73">
        <f t="shared" si="36"/>
        <v>1.3817710894486782E-4</v>
      </c>
    </row>
    <row r="116" spans="1:13" x14ac:dyDescent="0.25">
      <c r="A116" s="82" t="s">
        <v>540</v>
      </c>
      <c r="B116" s="93" t="s">
        <v>110</v>
      </c>
      <c r="C116" s="94" t="s">
        <v>271</v>
      </c>
      <c r="D116" s="186" t="s">
        <v>387</v>
      </c>
      <c r="E116" s="90" t="s">
        <v>5</v>
      </c>
      <c r="F116" s="199">
        <v>2</v>
      </c>
      <c r="G116" s="214">
        <v>23.41</v>
      </c>
      <c r="H116" s="78">
        <f t="shared" si="37"/>
        <v>46.82</v>
      </c>
      <c r="I116" s="79">
        <f t="shared" si="38"/>
        <v>0</v>
      </c>
      <c r="J116" s="80"/>
      <c r="K116" s="81">
        <f t="shared" si="39"/>
        <v>0</v>
      </c>
      <c r="L116" s="456"/>
      <c r="M116" s="73">
        <f t="shared" si="36"/>
        <v>8.4734148536983771E-5</v>
      </c>
    </row>
    <row r="117" spans="1:13" x14ac:dyDescent="0.25">
      <c r="A117" s="82" t="s">
        <v>541</v>
      </c>
      <c r="B117" s="93" t="s">
        <v>111</v>
      </c>
      <c r="C117" s="94" t="s">
        <v>271</v>
      </c>
      <c r="D117" s="186" t="s">
        <v>388</v>
      </c>
      <c r="E117" s="99" t="s">
        <v>5</v>
      </c>
      <c r="F117" s="203">
        <v>10</v>
      </c>
      <c r="G117" s="214">
        <v>134.9</v>
      </c>
      <c r="H117" s="78">
        <f t="shared" si="37"/>
        <v>1349</v>
      </c>
      <c r="I117" s="79">
        <f t="shared" si="38"/>
        <v>0</v>
      </c>
      <c r="J117" s="80"/>
      <c r="K117" s="81">
        <f t="shared" si="39"/>
        <v>0</v>
      </c>
      <c r="L117" s="456"/>
      <c r="M117" s="73">
        <f t="shared" si="36"/>
        <v>2.441400392490199E-3</v>
      </c>
    </row>
    <row r="118" spans="1:13" x14ac:dyDescent="0.25">
      <c r="A118" s="82" t="s">
        <v>542</v>
      </c>
      <c r="B118" s="93" t="s">
        <v>120</v>
      </c>
      <c r="C118" s="91" t="s">
        <v>275</v>
      </c>
      <c r="D118" s="186">
        <v>86903</v>
      </c>
      <c r="E118" s="90" t="s">
        <v>5</v>
      </c>
      <c r="F118" s="203">
        <v>3</v>
      </c>
      <c r="G118" s="214">
        <v>125.18</v>
      </c>
      <c r="H118" s="78">
        <f t="shared" si="37"/>
        <v>375.54</v>
      </c>
      <c r="I118" s="79">
        <f t="shared" si="38"/>
        <v>0</v>
      </c>
      <c r="J118" s="80"/>
      <c r="K118" s="81">
        <f t="shared" si="39"/>
        <v>0</v>
      </c>
      <c r="L118" s="456"/>
      <c r="M118" s="73">
        <f t="shared" si="36"/>
        <v>6.7964677790642645E-4</v>
      </c>
    </row>
    <row r="119" spans="1:13" x14ac:dyDescent="0.25">
      <c r="A119" s="82" t="s">
        <v>543</v>
      </c>
      <c r="B119" s="93" t="s">
        <v>122</v>
      </c>
      <c r="C119" s="91" t="s">
        <v>275</v>
      </c>
      <c r="D119" s="186" t="s">
        <v>123</v>
      </c>
      <c r="E119" s="99" t="s">
        <v>5</v>
      </c>
      <c r="F119" s="203">
        <v>2</v>
      </c>
      <c r="G119" s="214">
        <v>279.62</v>
      </c>
      <c r="H119" s="78">
        <f t="shared" si="37"/>
        <v>559.24</v>
      </c>
      <c r="I119" s="79">
        <f t="shared" si="38"/>
        <v>0</v>
      </c>
      <c r="J119" s="80"/>
      <c r="K119" s="81">
        <f t="shared" si="39"/>
        <v>0</v>
      </c>
      <c r="L119" s="456"/>
      <c r="M119" s="73">
        <f t="shared" si="36"/>
        <v>1.0121043406198806E-3</v>
      </c>
    </row>
    <row r="120" spans="1:13" x14ac:dyDescent="0.25">
      <c r="A120" s="481"/>
      <c r="B120" s="482"/>
      <c r="C120" s="482"/>
      <c r="D120" s="482"/>
      <c r="E120" s="482"/>
      <c r="F120" s="482"/>
      <c r="G120" s="482"/>
      <c r="H120" s="482"/>
      <c r="I120" s="482"/>
      <c r="J120" s="482"/>
      <c r="K120" s="482"/>
      <c r="L120" s="483"/>
      <c r="M120" s="73"/>
    </row>
    <row r="121" spans="1:13" x14ac:dyDescent="0.25">
      <c r="A121" s="67" t="s">
        <v>404</v>
      </c>
      <c r="B121" s="102" t="s">
        <v>323</v>
      </c>
      <c r="C121" s="103"/>
      <c r="D121" s="149"/>
      <c r="E121" s="87"/>
      <c r="F121" s="201"/>
      <c r="G121" s="198"/>
      <c r="H121" s="95">
        <f>SUM(H122:H147)</f>
        <v>42116.938171999995</v>
      </c>
      <c r="I121" s="72">
        <f>IF(L121=0,0,(L121/H121-1))</f>
        <v>0</v>
      </c>
      <c r="J121" s="96"/>
      <c r="K121" s="96"/>
      <c r="L121" s="96">
        <f>SUM(K122:K147)</f>
        <v>0</v>
      </c>
      <c r="M121" s="73">
        <f t="shared" ref="M121:M145" si="40">H121/$H$167</f>
        <v>7.6222616296224038E-2</v>
      </c>
    </row>
    <row r="122" spans="1:13" x14ac:dyDescent="0.25">
      <c r="A122" s="82" t="s">
        <v>544</v>
      </c>
      <c r="B122" s="93" t="s">
        <v>112</v>
      </c>
      <c r="C122" s="91" t="s">
        <v>275</v>
      </c>
      <c r="D122" s="186">
        <v>85005</v>
      </c>
      <c r="E122" s="99" t="s">
        <v>5</v>
      </c>
      <c r="F122" s="199">
        <v>4.66</v>
      </c>
      <c r="G122" s="214">
        <v>181.28</v>
      </c>
      <c r="H122" s="78">
        <f t="shared" ref="H122:H147" si="41">F122*G122</f>
        <v>844.76480000000004</v>
      </c>
      <c r="I122" s="79">
        <f>IF(J122="",0,(J122/G122-1))</f>
        <v>0</v>
      </c>
      <c r="J122" s="80"/>
      <c r="K122" s="81">
        <f>J122*F122</f>
        <v>0</v>
      </c>
      <c r="L122" s="455"/>
      <c r="M122" s="73">
        <f t="shared" si="40"/>
        <v>1.5288429312690173E-3</v>
      </c>
    </row>
    <row r="123" spans="1:13" x14ac:dyDescent="0.25">
      <c r="A123" s="82" t="s">
        <v>545</v>
      </c>
      <c r="B123" s="93" t="s">
        <v>113</v>
      </c>
      <c r="C123" s="91" t="s">
        <v>271</v>
      </c>
      <c r="D123" s="186" t="s">
        <v>147</v>
      </c>
      <c r="E123" s="99" t="s">
        <v>10</v>
      </c>
      <c r="F123" s="199">
        <v>2.6711999999999998</v>
      </c>
      <c r="G123" s="214">
        <v>271.81</v>
      </c>
      <c r="H123" s="78">
        <f t="shared" si="41"/>
        <v>726.05887199999995</v>
      </c>
      <c r="I123" s="79">
        <f t="shared" ref="I123:I147" si="42">IF(J123="",0,(J123/G123-1))</f>
        <v>0</v>
      </c>
      <c r="J123" s="80"/>
      <c r="K123" s="81">
        <f t="shared" ref="K123:K147" si="43">J123*F123</f>
        <v>0</v>
      </c>
      <c r="L123" s="456"/>
      <c r="M123" s="73">
        <f t="shared" si="40"/>
        <v>1.3140106857463239E-3</v>
      </c>
    </row>
    <row r="124" spans="1:13" x14ac:dyDescent="0.25">
      <c r="A124" s="82" t="s">
        <v>546</v>
      </c>
      <c r="B124" s="93" t="s">
        <v>114</v>
      </c>
      <c r="C124" s="91" t="s">
        <v>275</v>
      </c>
      <c r="D124" s="186">
        <v>79627</v>
      </c>
      <c r="E124" s="99" t="s">
        <v>5</v>
      </c>
      <c r="F124" s="199">
        <v>0.66</v>
      </c>
      <c r="G124" s="214">
        <v>436.64</v>
      </c>
      <c r="H124" s="78">
        <f t="shared" si="41"/>
        <v>288.18240000000003</v>
      </c>
      <c r="I124" s="79">
        <f t="shared" si="42"/>
        <v>0</v>
      </c>
      <c r="J124" s="80"/>
      <c r="K124" s="81">
        <f t="shared" si="43"/>
        <v>0</v>
      </c>
      <c r="L124" s="456"/>
      <c r="M124" s="73">
        <f t="shared" si="40"/>
        <v>5.2154827610731468E-4</v>
      </c>
    </row>
    <row r="125" spans="1:13" x14ac:dyDescent="0.25">
      <c r="A125" s="82" t="s">
        <v>547</v>
      </c>
      <c r="B125" s="93" t="s">
        <v>115</v>
      </c>
      <c r="C125" s="91" t="s">
        <v>275</v>
      </c>
      <c r="D125" s="186">
        <v>73664</v>
      </c>
      <c r="E125" s="99" t="s">
        <v>5</v>
      </c>
      <c r="F125" s="199">
        <v>5</v>
      </c>
      <c r="G125" s="214">
        <v>59.07</v>
      </c>
      <c r="H125" s="78">
        <f t="shared" si="41"/>
        <v>295.35000000000002</v>
      </c>
      <c r="I125" s="79">
        <f t="shared" si="42"/>
        <v>0</v>
      </c>
      <c r="J125" s="80"/>
      <c r="K125" s="81">
        <f t="shared" si="43"/>
        <v>0</v>
      </c>
      <c r="L125" s="456"/>
      <c r="M125" s="73">
        <f t="shared" si="40"/>
        <v>5.345200933446852E-4</v>
      </c>
    </row>
    <row r="126" spans="1:13" x14ac:dyDescent="0.25">
      <c r="A126" s="82" t="s">
        <v>548</v>
      </c>
      <c r="B126" s="93" t="s">
        <v>121</v>
      </c>
      <c r="C126" s="91" t="s">
        <v>275</v>
      </c>
      <c r="D126" s="186">
        <v>86906</v>
      </c>
      <c r="E126" s="99" t="s">
        <v>5</v>
      </c>
      <c r="F126" s="199">
        <v>3</v>
      </c>
      <c r="G126" s="214">
        <v>38.03</v>
      </c>
      <c r="H126" s="78">
        <f t="shared" si="41"/>
        <v>114.09</v>
      </c>
      <c r="I126" s="79">
        <f t="shared" si="42"/>
        <v>0</v>
      </c>
      <c r="J126" s="80"/>
      <c r="K126" s="81">
        <f t="shared" si="43"/>
        <v>0</v>
      </c>
      <c r="L126" s="456"/>
      <c r="M126" s="73">
        <f t="shared" si="40"/>
        <v>2.0647840680445279E-4</v>
      </c>
    </row>
    <row r="127" spans="1:13" x14ac:dyDescent="0.25">
      <c r="A127" s="82" t="s">
        <v>549</v>
      </c>
      <c r="B127" s="93" t="s">
        <v>187</v>
      </c>
      <c r="C127" s="91" t="s">
        <v>345</v>
      </c>
      <c r="D127" s="186" t="s">
        <v>398</v>
      </c>
      <c r="E127" s="99" t="s">
        <v>5</v>
      </c>
      <c r="F127" s="199">
        <v>1</v>
      </c>
      <c r="G127" s="214">
        <v>1996.4651000000001</v>
      </c>
      <c r="H127" s="78">
        <f t="shared" si="41"/>
        <v>1996.4651000000001</v>
      </c>
      <c r="I127" s="79">
        <f t="shared" si="42"/>
        <v>0</v>
      </c>
      <c r="J127" s="80"/>
      <c r="K127" s="81">
        <f t="shared" si="43"/>
        <v>0</v>
      </c>
      <c r="L127" s="456"/>
      <c r="M127" s="73">
        <f t="shared" si="40"/>
        <v>3.6131732236715972E-3</v>
      </c>
    </row>
    <row r="128" spans="1:13" x14ac:dyDescent="0.25">
      <c r="A128" s="82" t="s">
        <v>550</v>
      </c>
      <c r="B128" s="93" t="s">
        <v>188</v>
      </c>
      <c r="C128" s="91" t="s">
        <v>345</v>
      </c>
      <c r="D128" s="186" t="s">
        <v>399</v>
      </c>
      <c r="E128" s="99" t="s">
        <v>5</v>
      </c>
      <c r="F128" s="199">
        <v>1</v>
      </c>
      <c r="G128" s="214">
        <v>1143.8556000000003</v>
      </c>
      <c r="H128" s="78">
        <f t="shared" si="41"/>
        <v>1143.8556000000003</v>
      </c>
      <c r="I128" s="79">
        <f t="shared" si="42"/>
        <v>0</v>
      </c>
      <c r="J128" s="80"/>
      <c r="K128" s="81">
        <f t="shared" si="43"/>
        <v>0</v>
      </c>
      <c r="L128" s="456"/>
      <c r="M128" s="73">
        <f t="shared" si="40"/>
        <v>2.0701330695271406E-3</v>
      </c>
    </row>
    <row r="129" spans="1:13" x14ac:dyDescent="0.25">
      <c r="A129" s="82" t="s">
        <v>551</v>
      </c>
      <c r="B129" s="93" t="s">
        <v>189</v>
      </c>
      <c r="C129" s="91" t="s">
        <v>345</v>
      </c>
      <c r="D129" s="186" t="s">
        <v>400</v>
      </c>
      <c r="E129" s="99" t="s">
        <v>5</v>
      </c>
      <c r="F129" s="199">
        <v>1</v>
      </c>
      <c r="G129" s="214">
        <v>2133.6840000000002</v>
      </c>
      <c r="H129" s="78">
        <f t="shared" si="41"/>
        <v>2133.6840000000002</v>
      </c>
      <c r="I129" s="79">
        <f t="shared" si="42"/>
        <v>0</v>
      </c>
      <c r="J129" s="80"/>
      <c r="K129" s="81">
        <f t="shared" si="43"/>
        <v>0</v>
      </c>
      <c r="L129" s="456"/>
      <c r="M129" s="73">
        <f t="shared" si="40"/>
        <v>3.8615099740919629E-3</v>
      </c>
    </row>
    <row r="130" spans="1:13" x14ac:dyDescent="0.25">
      <c r="A130" s="82" t="s">
        <v>552</v>
      </c>
      <c r="B130" s="93" t="s">
        <v>190</v>
      </c>
      <c r="C130" s="91" t="s">
        <v>345</v>
      </c>
      <c r="D130" s="186" t="s">
        <v>401</v>
      </c>
      <c r="E130" s="99" t="s">
        <v>5</v>
      </c>
      <c r="F130" s="199">
        <v>1</v>
      </c>
      <c r="G130" s="214">
        <v>2133.6840000000002</v>
      </c>
      <c r="H130" s="78">
        <f t="shared" si="41"/>
        <v>2133.6840000000002</v>
      </c>
      <c r="I130" s="79">
        <f t="shared" si="42"/>
        <v>0</v>
      </c>
      <c r="J130" s="80"/>
      <c r="K130" s="81">
        <f t="shared" si="43"/>
        <v>0</v>
      </c>
      <c r="L130" s="456"/>
      <c r="M130" s="73">
        <f t="shared" si="40"/>
        <v>3.8615099740919629E-3</v>
      </c>
    </row>
    <row r="131" spans="1:13" x14ac:dyDescent="0.25">
      <c r="A131" s="82" t="s">
        <v>553</v>
      </c>
      <c r="B131" s="93" t="s">
        <v>191</v>
      </c>
      <c r="C131" s="91" t="s">
        <v>345</v>
      </c>
      <c r="D131" s="186" t="s">
        <v>402</v>
      </c>
      <c r="E131" s="99" t="s">
        <v>5</v>
      </c>
      <c r="F131" s="199">
        <v>1</v>
      </c>
      <c r="G131" s="214">
        <v>1619.4842000000001</v>
      </c>
      <c r="H131" s="78">
        <f t="shared" si="41"/>
        <v>1619.4842000000001</v>
      </c>
      <c r="I131" s="79">
        <f t="shared" si="42"/>
        <v>0</v>
      </c>
      <c r="J131" s="80"/>
      <c r="K131" s="81">
        <f t="shared" si="43"/>
        <v>0</v>
      </c>
      <c r="L131" s="456"/>
      <c r="M131" s="73">
        <f t="shared" si="40"/>
        <v>2.9309187261020576E-3</v>
      </c>
    </row>
    <row r="132" spans="1:13" x14ac:dyDescent="0.25">
      <c r="A132" s="82" t="s">
        <v>554</v>
      </c>
      <c r="B132" s="93" t="s">
        <v>192</v>
      </c>
      <c r="C132" s="91" t="s">
        <v>345</v>
      </c>
      <c r="D132" s="186" t="s">
        <v>403</v>
      </c>
      <c r="E132" s="99" t="s">
        <v>5</v>
      </c>
      <c r="F132" s="199">
        <v>1</v>
      </c>
      <c r="G132" s="214">
        <v>3555.7924000000007</v>
      </c>
      <c r="H132" s="78">
        <f t="shared" si="41"/>
        <v>3555.7924000000007</v>
      </c>
      <c r="I132" s="79">
        <f t="shared" si="42"/>
        <v>0</v>
      </c>
      <c r="J132" s="80"/>
      <c r="K132" s="81">
        <f t="shared" si="43"/>
        <v>0</v>
      </c>
      <c r="L132" s="456"/>
      <c r="M132" s="73">
        <f t="shared" si="40"/>
        <v>6.4352208754437862E-3</v>
      </c>
    </row>
    <row r="133" spans="1:13" x14ac:dyDescent="0.25">
      <c r="A133" s="82" t="s">
        <v>555</v>
      </c>
      <c r="B133" s="93" t="s">
        <v>193</v>
      </c>
      <c r="C133" s="91" t="s">
        <v>345</v>
      </c>
      <c r="D133" s="186" t="s">
        <v>389</v>
      </c>
      <c r="E133" s="99" t="s">
        <v>5</v>
      </c>
      <c r="F133" s="199">
        <v>1</v>
      </c>
      <c r="G133" s="214">
        <v>2358.8879999999999</v>
      </c>
      <c r="H133" s="78">
        <f t="shared" si="41"/>
        <v>2358.8879999999999</v>
      </c>
      <c r="I133" s="79">
        <f t="shared" si="42"/>
        <v>0</v>
      </c>
      <c r="J133" s="80"/>
      <c r="K133" s="81">
        <f t="shared" si="43"/>
        <v>0</v>
      </c>
      <c r="L133" s="456"/>
      <c r="M133" s="73">
        <f t="shared" si="40"/>
        <v>4.2690808665977907E-3</v>
      </c>
    </row>
    <row r="134" spans="1:13" x14ac:dyDescent="0.25">
      <c r="A134" s="82" t="s">
        <v>556</v>
      </c>
      <c r="B134" s="93" t="s">
        <v>194</v>
      </c>
      <c r="C134" s="91" t="s">
        <v>345</v>
      </c>
      <c r="D134" s="186" t="s">
        <v>390</v>
      </c>
      <c r="E134" s="99" t="s">
        <v>5</v>
      </c>
      <c r="F134" s="199">
        <v>1</v>
      </c>
      <c r="G134" s="214">
        <v>2358.8879999999999</v>
      </c>
      <c r="H134" s="78">
        <f t="shared" si="41"/>
        <v>2358.8879999999999</v>
      </c>
      <c r="I134" s="79">
        <f t="shared" si="42"/>
        <v>0</v>
      </c>
      <c r="J134" s="80"/>
      <c r="K134" s="81">
        <f t="shared" si="43"/>
        <v>0</v>
      </c>
      <c r="L134" s="456"/>
      <c r="M134" s="73">
        <f t="shared" si="40"/>
        <v>4.2690808665977907E-3</v>
      </c>
    </row>
    <row r="135" spans="1:13" x14ac:dyDescent="0.25">
      <c r="A135" s="82" t="s">
        <v>557</v>
      </c>
      <c r="B135" s="93" t="s">
        <v>195</v>
      </c>
      <c r="C135" s="91" t="s">
        <v>345</v>
      </c>
      <c r="D135" s="186" t="s">
        <v>391</v>
      </c>
      <c r="E135" s="99" t="s">
        <v>5</v>
      </c>
      <c r="F135" s="199">
        <v>1</v>
      </c>
      <c r="G135" s="214">
        <v>1240.6043000000002</v>
      </c>
      <c r="H135" s="78">
        <f t="shared" si="41"/>
        <v>1240.6043000000002</v>
      </c>
      <c r="I135" s="79">
        <f t="shared" si="42"/>
        <v>0</v>
      </c>
      <c r="J135" s="80"/>
      <c r="K135" s="81">
        <f t="shared" si="43"/>
        <v>0</v>
      </c>
      <c r="L135" s="456"/>
      <c r="M135" s="73">
        <f t="shared" si="40"/>
        <v>2.2452274462157369E-3</v>
      </c>
    </row>
    <row r="136" spans="1:13" x14ac:dyDescent="0.25">
      <c r="A136" s="82" t="s">
        <v>558</v>
      </c>
      <c r="B136" s="93" t="s">
        <v>196</v>
      </c>
      <c r="C136" s="91" t="s">
        <v>345</v>
      </c>
      <c r="D136" s="186" t="s">
        <v>392</v>
      </c>
      <c r="E136" s="99" t="s">
        <v>5</v>
      </c>
      <c r="F136" s="199">
        <v>1</v>
      </c>
      <c r="G136" s="214">
        <v>2019.3747000000001</v>
      </c>
      <c r="H136" s="78">
        <f t="shared" si="41"/>
        <v>2019.3747000000001</v>
      </c>
      <c r="I136" s="79">
        <f t="shared" si="42"/>
        <v>0</v>
      </c>
      <c r="J136" s="80"/>
      <c r="K136" s="81">
        <f t="shared" si="43"/>
        <v>0</v>
      </c>
      <c r="L136" s="456"/>
      <c r="M136" s="73">
        <f t="shared" si="40"/>
        <v>3.6546346813675148E-3</v>
      </c>
    </row>
    <row r="137" spans="1:13" x14ac:dyDescent="0.25">
      <c r="A137" s="82" t="s">
        <v>559</v>
      </c>
      <c r="B137" s="93" t="s">
        <v>197</v>
      </c>
      <c r="C137" s="91" t="s">
        <v>345</v>
      </c>
      <c r="D137" s="186" t="s">
        <v>393</v>
      </c>
      <c r="E137" s="99" t="s">
        <v>5</v>
      </c>
      <c r="F137" s="199">
        <v>1</v>
      </c>
      <c r="G137" s="214">
        <v>1798.0890000000002</v>
      </c>
      <c r="H137" s="78">
        <f t="shared" si="41"/>
        <v>1798.0890000000002</v>
      </c>
      <c r="I137" s="79">
        <f t="shared" si="42"/>
        <v>0</v>
      </c>
      <c r="J137" s="80"/>
      <c r="K137" s="81">
        <f t="shared" si="43"/>
        <v>0</v>
      </c>
      <c r="L137" s="456"/>
      <c r="M137" s="73">
        <f t="shared" si="40"/>
        <v>3.254155070668873E-3</v>
      </c>
    </row>
    <row r="138" spans="1:13" x14ac:dyDescent="0.25">
      <c r="A138" s="82" t="s">
        <v>560</v>
      </c>
      <c r="B138" s="93" t="s">
        <v>198</v>
      </c>
      <c r="C138" s="91" t="s">
        <v>345</v>
      </c>
      <c r="D138" s="186" t="s">
        <v>394</v>
      </c>
      <c r="E138" s="99" t="s">
        <v>5</v>
      </c>
      <c r="F138" s="199">
        <v>1</v>
      </c>
      <c r="G138" s="214">
        <v>2651.0860999999995</v>
      </c>
      <c r="H138" s="78">
        <f t="shared" si="41"/>
        <v>2651.0860999999995</v>
      </c>
      <c r="I138" s="79">
        <f t="shared" si="42"/>
        <v>0</v>
      </c>
      <c r="J138" s="80"/>
      <c r="K138" s="81">
        <f t="shared" si="43"/>
        <v>0</v>
      </c>
      <c r="L138" s="456"/>
      <c r="M138" s="73">
        <f t="shared" si="40"/>
        <v>4.7978966976021569E-3</v>
      </c>
    </row>
    <row r="139" spans="1:13" x14ac:dyDescent="0.25">
      <c r="A139" s="82" t="s">
        <v>561</v>
      </c>
      <c r="B139" s="93" t="s">
        <v>199</v>
      </c>
      <c r="C139" s="91" t="s">
        <v>345</v>
      </c>
      <c r="D139" s="186" t="s">
        <v>395</v>
      </c>
      <c r="E139" s="99" t="s">
        <v>5</v>
      </c>
      <c r="F139" s="199">
        <v>1</v>
      </c>
      <c r="G139" s="214">
        <v>778.6662</v>
      </c>
      <c r="H139" s="78">
        <f t="shared" si="41"/>
        <v>778.6662</v>
      </c>
      <c r="I139" s="79">
        <f t="shared" si="42"/>
        <v>0</v>
      </c>
      <c r="J139" s="80"/>
      <c r="K139" s="81">
        <f t="shared" si="43"/>
        <v>0</v>
      </c>
      <c r="L139" s="456"/>
      <c r="M139" s="73">
        <f t="shared" si="40"/>
        <v>1.409218655521758E-3</v>
      </c>
    </row>
    <row r="140" spans="1:13" x14ac:dyDescent="0.25">
      <c r="A140" s="82" t="s">
        <v>562</v>
      </c>
      <c r="B140" s="93" t="s">
        <v>200</v>
      </c>
      <c r="C140" s="91" t="s">
        <v>345</v>
      </c>
      <c r="D140" s="186" t="s">
        <v>396</v>
      </c>
      <c r="E140" s="99" t="s">
        <v>5</v>
      </c>
      <c r="F140" s="199">
        <v>1</v>
      </c>
      <c r="G140" s="214">
        <v>3217.6525000000001</v>
      </c>
      <c r="H140" s="78">
        <f t="shared" si="41"/>
        <v>3217.6525000000001</v>
      </c>
      <c r="I140" s="79">
        <f t="shared" si="42"/>
        <v>0</v>
      </c>
      <c r="J140" s="80"/>
      <c r="K140" s="81">
        <f t="shared" si="43"/>
        <v>0</v>
      </c>
      <c r="L140" s="456"/>
      <c r="M140" s="73">
        <f t="shared" si="40"/>
        <v>5.8232602493677316E-3</v>
      </c>
    </row>
    <row r="141" spans="1:13" x14ac:dyDescent="0.25">
      <c r="A141" s="82" t="s">
        <v>563</v>
      </c>
      <c r="B141" s="93" t="s">
        <v>201</v>
      </c>
      <c r="C141" s="91" t="s">
        <v>345</v>
      </c>
      <c r="D141" s="186" t="s">
        <v>397</v>
      </c>
      <c r="E141" s="99" t="s">
        <v>5</v>
      </c>
      <c r="F141" s="199">
        <v>1</v>
      </c>
      <c r="G141" s="214">
        <v>1635.7979999999998</v>
      </c>
      <c r="H141" s="78">
        <f t="shared" ref="H141:H146" si="44">F141*G141</f>
        <v>1635.7979999999998</v>
      </c>
      <c r="I141" s="79">
        <f t="shared" ref="I141:I145" si="45">IF(J141="",0,(J141/G141-1))</f>
        <v>0</v>
      </c>
      <c r="J141" s="80"/>
      <c r="K141" s="81">
        <f t="shared" si="43"/>
        <v>0</v>
      </c>
      <c r="L141" s="456"/>
      <c r="M141" s="73">
        <f t="shared" si="40"/>
        <v>2.9604432018048047E-3</v>
      </c>
    </row>
    <row r="142" spans="1:13" x14ac:dyDescent="0.25">
      <c r="A142" s="82" t="s">
        <v>564</v>
      </c>
      <c r="B142" s="93" t="s">
        <v>446</v>
      </c>
      <c r="C142" s="91" t="s">
        <v>345</v>
      </c>
      <c r="D142" s="186" t="s">
        <v>441</v>
      </c>
      <c r="E142" s="99" t="s">
        <v>5</v>
      </c>
      <c r="F142" s="199">
        <v>1</v>
      </c>
      <c r="G142" s="214">
        <v>1862.43</v>
      </c>
      <c r="H142" s="78">
        <f t="shared" si="44"/>
        <v>1862.43</v>
      </c>
      <c r="I142" s="79">
        <f t="shared" si="45"/>
        <v>0</v>
      </c>
      <c r="J142" s="80"/>
      <c r="K142" s="81">
        <f t="shared" si="43"/>
        <v>0</v>
      </c>
      <c r="L142" s="456"/>
      <c r="M142" s="73">
        <f t="shared" si="40"/>
        <v>3.3705984677431587E-3</v>
      </c>
    </row>
    <row r="143" spans="1:13" x14ac:dyDescent="0.25">
      <c r="A143" s="82" t="s">
        <v>565</v>
      </c>
      <c r="B143" s="93" t="s">
        <v>447</v>
      </c>
      <c r="C143" s="91" t="s">
        <v>345</v>
      </c>
      <c r="D143" s="186" t="s">
        <v>442</v>
      </c>
      <c r="E143" s="99" t="s">
        <v>5</v>
      </c>
      <c r="F143" s="199">
        <v>1</v>
      </c>
      <c r="G143" s="214">
        <v>885.65</v>
      </c>
      <c r="H143" s="78">
        <f t="shared" si="44"/>
        <v>885.65</v>
      </c>
      <c r="I143" s="79">
        <f t="shared" si="45"/>
        <v>0</v>
      </c>
      <c r="J143" s="80"/>
      <c r="K143" s="81">
        <f t="shared" si="43"/>
        <v>0</v>
      </c>
      <c r="L143" s="456"/>
      <c r="M143" s="73">
        <f t="shared" si="40"/>
        <v>1.6028363659072978E-3</v>
      </c>
    </row>
    <row r="144" spans="1:13" x14ac:dyDescent="0.25">
      <c r="A144" s="82" t="s">
        <v>566</v>
      </c>
      <c r="B144" s="93" t="s">
        <v>448</v>
      </c>
      <c r="C144" s="91" t="s">
        <v>345</v>
      </c>
      <c r="D144" s="186" t="s">
        <v>443</v>
      </c>
      <c r="E144" s="99" t="s">
        <v>5</v>
      </c>
      <c r="F144" s="199">
        <v>1</v>
      </c>
      <c r="G144" s="214">
        <v>2465.56</v>
      </c>
      <c r="H144" s="78">
        <f t="shared" si="44"/>
        <v>2465.56</v>
      </c>
      <c r="I144" s="79">
        <f t="shared" si="45"/>
        <v>0</v>
      </c>
      <c r="J144" s="80"/>
      <c r="K144" s="81">
        <f t="shared" si="43"/>
        <v>0</v>
      </c>
      <c r="L144" s="456"/>
      <c r="M144" s="73">
        <f t="shared" si="40"/>
        <v>4.462134285921523E-3</v>
      </c>
    </row>
    <row r="145" spans="1:15" x14ac:dyDescent="0.25">
      <c r="A145" s="82" t="s">
        <v>567</v>
      </c>
      <c r="B145" s="93" t="s">
        <v>449</v>
      </c>
      <c r="C145" s="91" t="s">
        <v>345</v>
      </c>
      <c r="D145" s="186" t="s">
        <v>444</v>
      </c>
      <c r="E145" s="99" t="s">
        <v>5</v>
      </c>
      <c r="F145" s="199">
        <v>1</v>
      </c>
      <c r="G145" s="214">
        <v>1473.59</v>
      </c>
      <c r="H145" s="78">
        <f t="shared" si="44"/>
        <v>1473.59</v>
      </c>
      <c r="I145" s="79">
        <f t="shared" si="45"/>
        <v>0</v>
      </c>
      <c r="J145" s="80"/>
      <c r="K145" s="81">
        <f t="shared" si="43"/>
        <v>0</v>
      </c>
      <c r="L145" s="456"/>
      <c r="M145" s="73">
        <f t="shared" si="40"/>
        <v>2.6668815451220398E-3</v>
      </c>
    </row>
    <row r="146" spans="1:15" x14ac:dyDescent="0.25">
      <c r="A146" s="82" t="s">
        <v>568</v>
      </c>
      <c r="B146" s="93" t="s">
        <v>450</v>
      </c>
      <c r="C146" s="91" t="s">
        <v>345</v>
      </c>
      <c r="D146" s="186" t="s">
        <v>445</v>
      </c>
      <c r="E146" s="99" t="s">
        <v>5</v>
      </c>
      <c r="F146" s="199">
        <v>1</v>
      </c>
      <c r="G146" s="214">
        <v>888.69</v>
      </c>
      <c r="H146" s="78">
        <f t="shared" si="44"/>
        <v>888.69</v>
      </c>
      <c r="I146" s="79"/>
      <c r="J146" s="80"/>
      <c r="K146" s="81"/>
      <c r="L146" s="456"/>
      <c r="M146" s="73"/>
    </row>
    <row r="147" spans="1:15" ht="29.25" x14ac:dyDescent="0.25">
      <c r="A147" s="82" t="s">
        <v>568</v>
      </c>
      <c r="B147" s="93" t="s">
        <v>650</v>
      </c>
      <c r="C147" s="91" t="s">
        <v>275</v>
      </c>
      <c r="D147" s="186" t="s">
        <v>649</v>
      </c>
      <c r="E147" s="99" t="s">
        <v>5</v>
      </c>
      <c r="F147" s="199">
        <v>12</v>
      </c>
      <c r="G147" s="214">
        <v>135.88</v>
      </c>
      <c r="H147" s="78">
        <f t="shared" si="41"/>
        <v>1630.56</v>
      </c>
      <c r="I147" s="79">
        <f t="shared" si="42"/>
        <v>0</v>
      </c>
      <c r="J147" s="80"/>
      <c r="K147" s="81">
        <f t="shared" si="43"/>
        <v>0</v>
      </c>
      <c r="L147" s="456"/>
      <c r="M147" s="73">
        <f t="shared" ref="M147:M164" si="46">H147/$H$167</f>
        <v>2.9509635463149135E-3</v>
      </c>
    </row>
    <row r="148" spans="1:15" x14ac:dyDescent="0.25">
      <c r="A148" s="478"/>
      <c r="B148" s="479"/>
      <c r="C148" s="479"/>
      <c r="D148" s="479"/>
      <c r="E148" s="479"/>
      <c r="F148" s="479"/>
      <c r="G148" s="479"/>
      <c r="H148" s="479"/>
      <c r="I148" s="479"/>
      <c r="J148" s="479"/>
      <c r="K148" s="479"/>
      <c r="L148" s="480"/>
      <c r="M148" s="73"/>
    </row>
    <row r="149" spans="1:15" x14ac:dyDescent="0.25">
      <c r="A149" s="67" t="s">
        <v>569</v>
      </c>
      <c r="B149" s="102" t="s">
        <v>580</v>
      </c>
      <c r="C149" s="103"/>
      <c r="D149" s="149"/>
      <c r="E149" s="87"/>
      <c r="F149" s="201"/>
      <c r="G149" s="198"/>
      <c r="H149" s="95">
        <f>SUM(H150:H154)</f>
        <v>74612.058400000024</v>
      </c>
      <c r="I149" s="72">
        <f>IF(L149=0,0,(L149/H149-1))</f>
        <v>0</v>
      </c>
      <c r="J149" s="96"/>
      <c r="K149" s="96"/>
      <c r="L149" s="96">
        <f>SUM(K151:K154)</f>
        <v>0</v>
      </c>
      <c r="M149" s="73">
        <f t="shared" si="46"/>
        <v>0.13503180775556833</v>
      </c>
    </row>
    <row r="150" spans="1:15" x14ac:dyDescent="0.25">
      <c r="A150" s="82" t="s">
        <v>570</v>
      </c>
      <c r="B150" s="93" t="s">
        <v>102</v>
      </c>
      <c r="C150" s="112" t="s">
        <v>271</v>
      </c>
      <c r="D150" s="186" t="s">
        <v>371</v>
      </c>
      <c r="E150" s="90" t="s">
        <v>10</v>
      </c>
      <c r="F150" s="199">
        <v>3288.26</v>
      </c>
      <c r="G150" s="214">
        <v>9.2100000000000009</v>
      </c>
      <c r="H150" s="78">
        <f t="shared" ref="H150" si="47">F150*G150</f>
        <v>30284.874600000006</v>
      </c>
      <c r="I150" s="79">
        <f t="shared" ref="I150" si="48">IF(J150="",0,(J150/G150-1))</f>
        <v>0</v>
      </c>
      <c r="J150" s="80"/>
      <c r="K150" s="81">
        <f t="shared" ref="K150" si="49">J150*F150</f>
        <v>0</v>
      </c>
      <c r="L150" s="490"/>
      <c r="M150" s="73">
        <f t="shared" si="46"/>
        <v>5.4809121375060395E-2</v>
      </c>
    </row>
    <row r="151" spans="1:15" x14ac:dyDescent="0.25">
      <c r="A151" s="82" t="s">
        <v>571</v>
      </c>
      <c r="B151" s="93" t="s">
        <v>367</v>
      </c>
      <c r="C151" s="112" t="s">
        <v>275</v>
      </c>
      <c r="D151" s="186">
        <v>84651</v>
      </c>
      <c r="E151" s="90" t="s">
        <v>10</v>
      </c>
      <c r="F151" s="199">
        <v>3288.26</v>
      </c>
      <c r="G151" s="214">
        <v>6.71</v>
      </c>
      <c r="H151" s="78">
        <f t="shared" ref="H151:H154" si="50">F151*G151</f>
        <v>22064.224600000001</v>
      </c>
      <c r="I151" s="79">
        <f t="shared" ref="I151:I154" si="51">IF(J151="",0,(J151/G151-1))</f>
        <v>0</v>
      </c>
      <c r="J151" s="80"/>
      <c r="K151" s="81">
        <f t="shared" ref="K151:K154" si="52">J151*F151</f>
        <v>0</v>
      </c>
      <c r="L151" s="491"/>
      <c r="M151" s="73">
        <f t="shared" si="46"/>
        <v>3.9931509709734546E-2</v>
      </c>
    </row>
    <row r="152" spans="1:15" x14ac:dyDescent="0.25">
      <c r="A152" s="82" t="s">
        <v>572</v>
      </c>
      <c r="B152" s="93" t="s">
        <v>368</v>
      </c>
      <c r="C152" s="112" t="s">
        <v>275</v>
      </c>
      <c r="D152" s="186">
        <v>84651</v>
      </c>
      <c r="E152" s="90" t="s">
        <v>10</v>
      </c>
      <c r="F152" s="199">
        <v>2301.36</v>
      </c>
      <c r="G152" s="214">
        <v>6.71</v>
      </c>
      <c r="H152" s="78">
        <f t="shared" si="50"/>
        <v>15442.125600000001</v>
      </c>
      <c r="I152" s="79">
        <f t="shared" si="51"/>
        <v>0</v>
      </c>
      <c r="J152" s="80"/>
      <c r="K152" s="81">
        <f t="shared" si="52"/>
        <v>0</v>
      </c>
      <c r="L152" s="491"/>
      <c r="M152" s="73">
        <f t="shared" si="46"/>
        <v>2.7946932172515159E-2</v>
      </c>
    </row>
    <row r="153" spans="1:15" x14ac:dyDescent="0.25">
      <c r="A153" s="82" t="s">
        <v>577</v>
      </c>
      <c r="B153" s="93" t="s">
        <v>369</v>
      </c>
      <c r="C153" s="112" t="s">
        <v>275</v>
      </c>
      <c r="D153" s="186" t="s">
        <v>216</v>
      </c>
      <c r="E153" s="90" t="s">
        <v>10</v>
      </c>
      <c r="F153" s="199">
        <v>541.20000000000005</v>
      </c>
      <c r="G153" s="214">
        <v>11.06</v>
      </c>
      <c r="H153" s="78">
        <f t="shared" si="50"/>
        <v>5985.6720000000005</v>
      </c>
      <c r="I153" s="79">
        <f t="shared" si="51"/>
        <v>0</v>
      </c>
      <c r="J153" s="80"/>
      <c r="K153" s="81">
        <f t="shared" si="52"/>
        <v>0</v>
      </c>
      <c r="L153" s="491"/>
      <c r="M153" s="73">
        <f t="shared" si="46"/>
        <v>1.0832781297344399E-2</v>
      </c>
    </row>
    <row r="154" spans="1:15" ht="29.25" x14ac:dyDescent="0.25">
      <c r="A154" s="82" t="s">
        <v>578</v>
      </c>
      <c r="B154" s="93" t="s">
        <v>370</v>
      </c>
      <c r="C154" s="112" t="s">
        <v>275</v>
      </c>
      <c r="D154" s="186">
        <v>79460</v>
      </c>
      <c r="E154" s="90" t="s">
        <v>10</v>
      </c>
      <c r="F154" s="199">
        <v>24.96</v>
      </c>
      <c r="G154" s="214">
        <v>33.46</v>
      </c>
      <c r="H154" s="78">
        <f t="shared" si="50"/>
        <v>835.16160000000002</v>
      </c>
      <c r="I154" s="79">
        <f t="shared" si="51"/>
        <v>0</v>
      </c>
      <c r="J154" s="80"/>
      <c r="K154" s="81">
        <f t="shared" si="52"/>
        <v>0</v>
      </c>
      <c r="L154" s="492"/>
      <c r="M154" s="73">
        <f t="shared" si="46"/>
        <v>1.5114632009138194E-3</v>
      </c>
    </row>
    <row r="155" spans="1:15" x14ac:dyDescent="0.25">
      <c r="A155" s="478"/>
      <c r="B155" s="479"/>
      <c r="C155" s="479"/>
      <c r="D155" s="479"/>
      <c r="E155" s="479"/>
      <c r="F155" s="479"/>
      <c r="G155" s="479"/>
      <c r="H155" s="479"/>
      <c r="I155" s="479"/>
      <c r="J155" s="479"/>
      <c r="K155" s="479"/>
      <c r="L155" s="480"/>
      <c r="M155" s="73">
        <f t="shared" si="46"/>
        <v>0</v>
      </c>
    </row>
    <row r="156" spans="1:15" x14ac:dyDescent="0.25">
      <c r="A156" s="67" t="s">
        <v>573</v>
      </c>
      <c r="B156" s="144" t="s">
        <v>325</v>
      </c>
      <c r="C156" s="145"/>
      <c r="D156" s="149"/>
      <c r="E156" s="87"/>
      <c r="F156" s="201"/>
      <c r="G156" s="198"/>
      <c r="H156" s="95">
        <f>SUM(H157:H159)</f>
        <v>4734.5752999999986</v>
      </c>
      <c r="I156" s="72">
        <f>IF(L156=0,0,(L156/H156-1))</f>
        <v>0</v>
      </c>
      <c r="J156" s="96"/>
      <c r="K156" s="96"/>
      <c r="L156" s="96">
        <f>SUM(K157:K159)</f>
        <v>0</v>
      </c>
      <c r="M156" s="73">
        <f t="shared" si="46"/>
        <v>8.5685648596696799E-3</v>
      </c>
      <c r="O156" s="148"/>
    </row>
    <row r="157" spans="1:15" x14ac:dyDescent="0.25">
      <c r="A157" s="146" t="s">
        <v>570</v>
      </c>
      <c r="B157" s="83" t="s">
        <v>326</v>
      </c>
      <c r="C157" s="147" t="s">
        <v>275</v>
      </c>
      <c r="D157" s="188">
        <v>9537</v>
      </c>
      <c r="E157" s="90" t="s">
        <v>10</v>
      </c>
      <c r="F157" s="199">
        <v>2368.33</v>
      </c>
      <c r="G157" s="214">
        <v>1.41</v>
      </c>
      <c r="H157" s="78">
        <f>F157*G157</f>
        <v>3339.3452999999995</v>
      </c>
      <c r="I157" s="79">
        <f>IF(J157="",0,(J157/G157-1))</f>
        <v>0</v>
      </c>
      <c r="J157" s="80"/>
      <c r="K157" s="81">
        <f>J157*F157</f>
        <v>0</v>
      </c>
      <c r="L157" s="455"/>
      <c r="M157" s="73">
        <f t="shared" si="46"/>
        <v>6.0434980919794662E-3</v>
      </c>
      <c r="O157" s="148"/>
    </row>
    <row r="158" spans="1:15" s="218" customFormat="1" x14ac:dyDescent="0.25">
      <c r="A158" s="357" t="s">
        <v>571</v>
      </c>
      <c r="B158" s="83" t="s">
        <v>327</v>
      </c>
      <c r="C158" s="147" t="s">
        <v>275</v>
      </c>
      <c r="D158" s="188">
        <v>72209</v>
      </c>
      <c r="E158" s="99" t="s">
        <v>219</v>
      </c>
      <c r="F158" s="199">
        <v>75</v>
      </c>
      <c r="G158" s="214">
        <v>14.29</v>
      </c>
      <c r="H158" s="78">
        <f>F158*G158</f>
        <v>1071.75</v>
      </c>
      <c r="I158" s="79">
        <f>IF(J158="",0,(J158/G158-1))</f>
        <v>0</v>
      </c>
      <c r="J158" s="80"/>
      <c r="K158" s="81">
        <f>J158*F158</f>
        <v>0</v>
      </c>
      <c r="L158" s="456"/>
      <c r="M158" s="73">
        <f t="shared" si="46"/>
        <v>1.9396374133812976E-3</v>
      </c>
    </row>
    <row r="159" spans="1:15" s="218" customFormat="1" x14ac:dyDescent="0.25">
      <c r="A159" s="357" t="s">
        <v>572</v>
      </c>
      <c r="B159" s="83" t="s">
        <v>328</v>
      </c>
      <c r="C159" s="147" t="s">
        <v>275</v>
      </c>
      <c r="D159" s="188">
        <v>10848</v>
      </c>
      <c r="E159" s="99" t="s">
        <v>291</v>
      </c>
      <c r="F159" s="199">
        <v>1</v>
      </c>
      <c r="G159" s="214">
        <v>323.48</v>
      </c>
      <c r="H159" s="78">
        <f>F159*G159</f>
        <v>323.48</v>
      </c>
      <c r="I159" s="79">
        <f>IF(J159="",0,(J159/G159-1))</f>
        <v>0</v>
      </c>
      <c r="J159" s="80"/>
      <c r="K159" s="81">
        <f>J159*F159</f>
        <v>0</v>
      </c>
      <c r="L159" s="477"/>
      <c r="M159" s="73">
        <f t="shared" si="46"/>
        <v>5.8542935430891743E-4</v>
      </c>
    </row>
    <row r="160" spans="1:15" s="218" customFormat="1" x14ac:dyDescent="0.25">
      <c r="A160" s="478"/>
      <c r="B160" s="479"/>
      <c r="C160" s="479"/>
      <c r="D160" s="479"/>
      <c r="E160" s="479"/>
      <c r="F160" s="479"/>
      <c r="G160" s="479"/>
      <c r="H160" s="479"/>
      <c r="I160" s="479"/>
      <c r="J160" s="479"/>
      <c r="K160" s="479"/>
      <c r="L160" s="480"/>
      <c r="M160" s="73"/>
    </row>
    <row r="161" spans="1:22" s="218" customFormat="1" x14ac:dyDescent="0.25">
      <c r="A161" s="67" t="s">
        <v>579</v>
      </c>
      <c r="B161" s="144" t="s">
        <v>298</v>
      </c>
      <c r="C161" s="145"/>
      <c r="D161" s="149"/>
      <c r="E161" s="87"/>
      <c r="F161" s="201"/>
      <c r="G161" s="198"/>
      <c r="H161" s="95">
        <f>SUM(H162:H164)</f>
        <v>65802.880000000005</v>
      </c>
      <c r="I161" s="72">
        <f>IF(L161=0,0,(L161/H161-1))</f>
        <v>0</v>
      </c>
      <c r="J161" s="96"/>
      <c r="K161" s="96"/>
      <c r="L161" s="96">
        <f>SUM(K162:K164)</f>
        <v>0</v>
      </c>
      <c r="M161" s="73">
        <f t="shared" si="46"/>
        <v>0.11908908603334727</v>
      </c>
      <c r="O161" s="219"/>
      <c r="P161" s="220"/>
      <c r="Q161" s="220"/>
      <c r="R161" s="221"/>
      <c r="S161" s="221"/>
      <c r="T161" s="221"/>
      <c r="U161" s="221"/>
      <c r="V161" s="221"/>
    </row>
    <row r="162" spans="1:22" x14ac:dyDescent="0.25">
      <c r="A162" s="146" t="s">
        <v>574</v>
      </c>
      <c r="B162" s="83" t="s">
        <v>300</v>
      </c>
      <c r="C162" s="147" t="s">
        <v>275</v>
      </c>
      <c r="D162" s="188">
        <v>4069</v>
      </c>
      <c r="E162" s="90" t="s">
        <v>301</v>
      </c>
      <c r="F162" s="199">
        <v>8</v>
      </c>
      <c r="G162" s="214">
        <f>18.06*8*22</f>
        <v>3178.56</v>
      </c>
      <c r="H162" s="78">
        <f t="shared" ref="H162:H164" si="53">F162*G162</f>
        <v>25428.48</v>
      </c>
      <c r="I162" s="79">
        <f>IF(J162="",0,(J162/G162-1))</f>
        <v>0</v>
      </c>
      <c r="J162" s="80"/>
      <c r="K162" s="81">
        <f>J162*F162</f>
        <v>0</v>
      </c>
      <c r="L162" s="455"/>
      <c r="M162" s="73">
        <f t="shared" si="46"/>
        <v>4.6020089734936376E-2</v>
      </c>
      <c r="O162" s="60"/>
      <c r="P162" s="55"/>
      <c r="Q162" s="55"/>
      <c r="R162" s="57"/>
      <c r="S162" s="57"/>
      <c r="T162" s="57"/>
      <c r="U162" s="57"/>
      <c r="V162" s="57"/>
    </row>
    <row r="163" spans="1:22" x14ac:dyDescent="0.25">
      <c r="A163" s="357" t="s">
        <v>575</v>
      </c>
      <c r="B163" s="83" t="s">
        <v>303</v>
      </c>
      <c r="C163" s="147" t="s">
        <v>275</v>
      </c>
      <c r="D163" s="188">
        <v>2707</v>
      </c>
      <c r="E163" s="99" t="s">
        <v>301</v>
      </c>
      <c r="F163" s="199">
        <v>8</v>
      </c>
      <c r="G163" s="214">
        <f>53.46*2*30</f>
        <v>3207.6</v>
      </c>
      <c r="H163" s="78">
        <f t="shared" si="53"/>
        <v>25660.799999999999</v>
      </c>
      <c r="I163" s="79">
        <f>IF(J163="",0,(J163/G163-1))</f>
        <v>0</v>
      </c>
      <c r="J163" s="80"/>
      <c r="K163" s="81">
        <f>J163*F163</f>
        <v>0</v>
      </c>
      <c r="L163" s="456"/>
      <c r="M163" s="73">
        <f t="shared" si="46"/>
        <v>4.6440539059757223E-2</v>
      </c>
    </row>
    <row r="164" spans="1:22" x14ac:dyDescent="0.25">
      <c r="A164" s="357" t="s">
        <v>576</v>
      </c>
      <c r="B164" s="83" t="s">
        <v>305</v>
      </c>
      <c r="C164" s="147" t="s">
        <v>275</v>
      </c>
      <c r="D164" s="188">
        <v>253</v>
      </c>
      <c r="E164" s="99" t="s">
        <v>301</v>
      </c>
      <c r="F164" s="199">
        <v>8</v>
      </c>
      <c r="G164" s="214">
        <f>10.45*8*22</f>
        <v>1839.1999999999998</v>
      </c>
      <c r="H164" s="78">
        <f t="shared" si="53"/>
        <v>14713.599999999999</v>
      </c>
      <c r="I164" s="79">
        <f>IF(J164="",0,(J164/G164-1))</f>
        <v>0</v>
      </c>
      <c r="J164" s="80"/>
      <c r="K164" s="81">
        <f>J164*F164</f>
        <v>0</v>
      </c>
      <c r="L164" s="477"/>
      <c r="M164" s="73">
        <f t="shared" si="46"/>
        <v>2.6628457238653661E-2</v>
      </c>
    </row>
    <row r="165" spans="1:22" x14ac:dyDescent="0.25">
      <c r="A165" s="487"/>
      <c r="B165" s="488"/>
      <c r="C165" s="488"/>
      <c r="D165" s="488"/>
      <c r="E165" s="488"/>
      <c r="F165" s="488"/>
      <c r="G165" s="488"/>
      <c r="H165" s="488"/>
      <c r="I165" s="488"/>
      <c r="J165" s="488"/>
      <c r="K165" s="488"/>
      <c r="L165" s="489"/>
    </row>
    <row r="166" spans="1:22" ht="15.75" thickBot="1" x14ac:dyDescent="0.3">
      <c r="A166" s="458"/>
      <c r="B166" s="458"/>
      <c r="C166" s="458"/>
      <c r="D166" s="458"/>
      <c r="E166" s="458"/>
      <c r="F166" s="458"/>
      <c r="G166" s="458"/>
      <c r="H166" s="458"/>
      <c r="I166" s="458"/>
      <c r="J166" s="458"/>
      <c r="K166" s="458"/>
      <c r="L166" s="458"/>
    </row>
    <row r="167" spans="1:22" x14ac:dyDescent="0.25">
      <c r="A167" s="459" t="s">
        <v>329</v>
      </c>
      <c r="B167" s="460"/>
      <c r="C167" s="460"/>
      <c r="D167" s="460"/>
      <c r="E167" s="460"/>
      <c r="F167" s="460"/>
      <c r="G167" s="461"/>
      <c r="H167" s="151">
        <f>SUM(H13:H164)/2</f>
        <v>552551.7257020002</v>
      </c>
      <c r="I167" s="462" t="s">
        <v>330</v>
      </c>
      <c r="J167" s="463"/>
      <c r="K167" s="464"/>
      <c r="L167" s="152">
        <f>SUM(L13:L160)</f>
        <v>0</v>
      </c>
    </row>
    <row r="168" spans="1:22" x14ac:dyDescent="0.25">
      <c r="A168" s="465" t="s">
        <v>331</v>
      </c>
      <c r="B168" s="466"/>
      <c r="C168" s="466"/>
      <c r="D168" s="466"/>
      <c r="E168" s="466"/>
      <c r="F168" s="466"/>
      <c r="G168" s="467"/>
      <c r="H168" s="153">
        <f>0.27*H167</f>
        <v>149188.96593954007</v>
      </c>
      <c r="I168" s="468" t="s">
        <v>332</v>
      </c>
      <c r="J168" s="469"/>
      <c r="K168" s="470"/>
      <c r="L168" s="356">
        <f>0.27*L167</f>
        <v>0</v>
      </c>
    </row>
    <row r="169" spans="1:22" ht="15.75" thickBot="1" x14ac:dyDescent="0.3">
      <c r="A169" s="471" t="s">
        <v>333</v>
      </c>
      <c r="B169" s="472"/>
      <c r="C169" s="472"/>
      <c r="D169" s="472"/>
      <c r="E169" s="472"/>
      <c r="F169" s="472"/>
      <c r="G169" s="473"/>
      <c r="H169" s="154">
        <f>SUM(H167:H168)</f>
        <v>701740.69164154027</v>
      </c>
      <c r="I169" s="474" t="s">
        <v>334</v>
      </c>
      <c r="J169" s="475"/>
      <c r="K169" s="476"/>
      <c r="L169" s="155">
        <f>SUM(K167:L168)</f>
        <v>0</v>
      </c>
    </row>
    <row r="170" spans="1:22" x14ac:dyDescent="0.25">
      <c r="A170" s="156"/>
      <c r="B170" s="157"/>
      <c r="C170" s="157"/>
      <c r="D170" s="158"/>
      <c r="E170" s="159"/>
      <c r="F170" s="206"/>
      <c r="G170" s="215"/>
      <c r="H170" s="120"/>
      <c r="I170" s="120"/>
      <c r="J170" s="120"/>
      <c r="K170" s="120"/>
      <c r="L170" s="120"/>
    </row>
    <row r="171" spans="1:22" ht="30" customHeight="1" x14ac:dyDescent="0.25">
      <c r="A171" s="160"/>
      <c r="B171" s="457" t="s">
        <v>651</v>
      </c>
      <c r="C171" s="457"/>
      <c r="D171" s="457"/>
      <c r="E171" s="457"/>
      <c r="F171" s="457"/>
      <c r="G171" s="215"/>
      <c r="H171" s="120"/>
      <c r="I171" s="120"/>
      <c r="J171" s="120"/>
      <c r="K171" s="120"/>
      <c r="L171" s="120"/>
    </row>
    <row r="172" spans="1:22" x14ac:dyDescent="0.25">
      <c r="A172" s="160"/>
      <c r="B172" s="161" t="s">
        <v>616</v>
      </c>
      <c r="C172" s="157"/>
      <c r="D172" s="158"/>
      <c r="E172" s="159"/>
      <c r="F172" s="206"/>
      <c r="G172" s="215"/>
      <c r="H172" s="120"/>
      <c r="I172" s="120"/>
      <c r="J172" s="120"/>
      <c r="K172" s="120"/>
      <c r="L172" s="120"/>
      <c r="M172" s="171"/>
    </row>
    <row r="173" spans="1:22" x14ac:dyDescent="0.25">
      <c r="A173" s="160"/>
      <c r="C173" s="157"/>
      <c r="D173" s="158"/>
      <c r="E173" s="159"/>
      <c r="F173" s="206"/>
      <c r="G173" s="215"/>
      <c r="H173" s="120"/>
      <c r="I173" s="120"/>
      <c r="J173" s="120"/>
      <c r="K173" s="120"/>
      <c r="L173" s="120"/>
      <c r="M173" s="171"/>
    </row>
    <row r="174" spans="1:22" x14ac:dyDescent="0.25">
      <c r="A174" s="162"/>
      <c r="B174" s="163"/>
      <c r="C174" s="164"/>
      <c r="D174" s="190"/>
      <c r="E174" s="165"/>
      <c r="F174" s="207"/>
      <c r="G174" s="216"/>
      <c r="H174" s="120"/>
      <c r="I174" s="120"/>
      <c r="J174" s="120"/>
      <c r="K174" s="120"/>
      <c r="L174" s="120"/>
      <c r="M174" s="171"/>
    </row>
    <row r="175" spans="1:22" x14ac:dyDescent="0.25">
      <c r="A175" s="166"/>
      <c r="B175" s="167"/>
      <c r="C175" s="168"/>
      <c r="D175" s="169"/>
      <c r="E175" s="170"/>
      <c r="F175" s="208"/>
      <c r="G175" s="217"/>
      <c r="H175" s="120"/>
      <c r="I175" s="120"/>
      <c r="J175" s="120"/>
      <c r="K175" s="120"/>
      <c r="L175" s="120"/>
      <c r="M175" s="171"/>
    </row>
    <row r="176" spans="1:22" x14ac:dyDescent="0.25">
      <c r="A176" s="36"/>
      <c r="B176" s="172" t="s">
        <v>617</v>
      </c>
      <c r="C176" s="164"/>
      <c r="D176" s="190"/>
      <c r="E176" s="165"/>
      <c r="F176" s="209"/>
      <c r="G176" s="210"/>
      <c r="M176" s="171"/>
    </row>
    <row r="177" spans="1:13" x14ac:dyDescent="0.25">
      <c r="A177" s="36"/>
      <c r="B177" s="174" t="s">
        <v>619</v>
      </c>
      <c r="C177" s="164"/>
      <c r="D177" s="190"/>
      <c r="E177" s="165"/>
      <c r="F177" s="209"/>
      <c r="G177" s="210"/>
      <c r="H177" s="175"/>
      <c r="I177" s="175"/>
      <c r="J177" s="175"/>
      <c r="K177" s="175"/>
      <c r="L177" s="175"/>
      <c r="M177" s="171"/>
    </row>
    <row r="178" spans="1:13" x14ac:dyDescent="0.25">
      <c r="A178" s="36"/>
      <c r="B178" s="174" t="s">
        <v>618</v>
      </c>
      <c r="C178" s="164"/>
      <c r="D178" s="190"/>
      <c r="E178" s="165"/>
      <c r="F178" s="209"/>
      <c r="G178" s="210"/>
      <c r="H178" s="36"/>
      <c r="I178" s="36"/>
      <c r="J178" s="36"/>
      <c r="K178" s="36"/>
      <c r="L178" s="36"/>
      <c r="M178" s="171"/>
    </row>
    <row r="179" spans="1:13" x14ac:dyDescent="0.25">
      <c r="A179" s="162"/>
      <c r="B179" s="163"/>
      <c r="C179" s="164"/>
      <c r="D179" s="190"/>
      <c r="E179" s="165"/>
      <c r="F179" s="207"/>
      <c r="G179" s="216"/>
      <c r="H179" s="36"/>
      <c r="I179" s="36"/>
      <c r="J179" s="36"/>
      <c r="K179" s="36"/>
      <c r="L179" s="36"/>
      <c r="M179" s="171"/>
    </row>
    <row r="180" spans="1:13" ht="15.75" x14ac:dyDescent="0.25">
      <c r="A180" s="160"/>
      <c r="B180" s="176" t="s">
        <v>335</v>
      </c>
      <c r="C180" s="164"/>
      <c r="D180" s="190"/>
      <c r="E180" s="165"/>
      <c r="F180" s="207"/>
      <c r="G180" s="216"/>
      <c r="H180" s="36"/>
      <c r="I180" s="36"/>
      <c r="J180" s="36"/>
      <c r="K180" s="36"/>
      <c r="L180" s="36"/>
      <c r="M180" s="171"/>
    </row>
    <row r="181" spans="1:13" x14ac:dyDescent="0.25">
      <c r="A181" s="160"/>
      <c r="B181" s="163"/>
      <c r="C181" s="164"/>
      <c r="D181" s="190"/>
      <c r="E181" s="165"/>
      <c r="F181" s="206"/>
      <c r="G181" s="215"/>
      <c r="H181" s="36"/>
      <c r="I181" s="36"/>
      <c r="J181" s="36"/>
      <c r="K181" s="36"/>
      <c r="L181" s="36"/>
      <c r="M181" s="171"/>
    </row>
    <row r="182" spans="1:13" x14ac:dyDescent="0.25">
      <c r="D182" s="190"/>
      <c r="E182" s="165"/>
      <c r="F182" s="206"/>
      <c r="G182" s="215"/>
      <c r="H182" s="36"/>
      <c r="I182" s="36"/>
      <c r="J182" s="36"/>
      <c r="K182" s="36"/>
      <c r="L182" s="36"/>
      <c r="M182" s="171"/>
    </row>
    <row r="183" spans="1:13" x14ac:dyDescent="0.25">
      <c r="A183" s="162"/>
      <c r="B183" s="163"/>
      <c r="C183" s="164"/>
      <c r="D183" s="190"/>
      <c r="E183" s="165"/>
      <c r="F183" s="207"/>
      <c r="G183" s="216"/>
      <c r="H183" s="36"/>
      <c r="I183" s="36"/>
      <c r="J183" s="36"/>
      <c r="K183" s="36"/>
      <c r="L183" s="36"/>
    </row>
    <row r="184" spans="1:13" x14ac:dyDescent="0.25">
      <c r="A184" s="166"/>
      <c r="B184" s="163"/>
      <c r="C184" s="164"/>
      <c r="D184" s="190"/>
      <c r="E184" s="165"/>
      <c r="F184" s="208"/>
      <c r="G184" s="217"/>
      <c r="H184" s="36"/>
      <c r="I184" s="36"/>
      <c r="J184" s="36"/>
      <c r="K184" s="36"/>
      <c r="L184" s="36"/>
    </row>
    <row r="185" spans="1:13" x14ac:dyDescent="0.25">
      <c r="A185" s="36"/>
      <c r="B185" s="163"/>
      <c r="C185" s="164"/>
      <c r="D185" s="190"/>
      <c r="E185" s="165"/>
      <c r="F185" s="209"/>
      <c r="G185" s="210"/>
      <c r="H185" s="36"/>
      <c r="I185" s="36"/>
      <c r="J185" s="36"/>
      <c r="K185" s="36"/>
      <c r="L185" s="36"/>
    </row>
    <row r="186" spans="1:13" x14ac:dyDescent="0.25">
      <c r="A186" s="36"/>
      <c r="B186" s="163"/>
      <c r="C186" s="164"/>
      <c r="D186" s="190"/>
      <c r="E186" s="165"/>
      <c r="F186" s="209"/>
      <c r="G186" s="210"/>
      <c r="H186" s="36"/>
      <c r="I186" s="36"/>
      <c r="J186" s="36"/>
      <c r="K186" s="36"/>
      <c r="L186" s="36"/>
    </row>
    <row r="187" spans="1:13" x14ac:dyDescent="0.25">
      <c r="A187" s="36"/>
      <c r="B187" s="163"/>
      <c r="C187" s="164"/>
      <c r="D187" s="190"/>
      <c r="E187" s="165"/>
      <c r="F187" s="209"/>
      <c r="G187" s="210"/>
      <c r="H187" s="36"/>
      <c r="I187" s="36"/>
      <c r="J187" s="36"/>
      <c r="K187" s="36"/>
      <c r="L187" s="36"/>
    </row>
    <row r="188" spans="1:13" x14ac:dyDescent="0.25">
      <c r="A188" s="36"/>
      <c r="B188" s="173"/>
      <c r="C188" s="173"/>
      <c r="D188" s="191"/>
      <c r="E188" s="173"/>
      <c r="F188" s="210"/>
      <c r="G188" s="210"/>
    </row>
    <row r="189" spans="1:13" x14ac:dyDescent="0.25">
      <c r="B189" s="36"/>
      <c r="C189" s="36"/>
      <c r="D189" s="192"/>
      <c r="E189" s="36"/>
      <c r="F189" s="39"/>
      <c r="G189" s="39"/>
    </row>
    <row r="192" spans="1:13" x14ac:dyDescent="0.25">
      <c r="M192" s="35"/>
    </row>
    <row r="195" spans="8:12" x14ac:dyDescent="0.25">
      <c r="H195" s="148"/>
      <c r="I195" s="148"/>
      <c r="J195" s="148"/>
      <c r="K195" s="148"/>
      <c r="L195" s="148"/>
    </row>
  </sheetData>
  <mergeCells count="38">
    <mergeCell ref="A4:L4"/>
    <mergeCell ref="L30:L33"/>
    <mergeCell ref="L14:L16"/>
    <mergeCell ref="A17:L17"/>
    <mergeCell ref="L19:L27"/>
    <mergeCell ref="A28:L28"/>
    <mergeCell ref="A10:D10"/>
    <mergeCell ref="A34:L34"/>
    <mergeCell ref="L36:L37"/>
    <mergeCell ref="L162:L164"/>
    <mergeCell ref="A165:L165"/>
    <mergeCell ref="L40:L48"/>
    <mergeCell ref="A49:L49"/>
    <mergeCell ref="L103:L104"/>
    <mergeCell ref="A155:L155"/>
    <mergeCell ref="L150:L154"/>
    <mergeCell ref="L107:L108"/>
    <mergeCell ref="A109:L109"/>
    <mergeCell ref="A56:L56"/>
    <mergeCell ref="A148:L148"/>
    <mergeCell ref="L157:L159"/>
    <mergeCell ref="A160:L160"/>
    <mergeCell ref="A61:L61"/>
    <mergeCell ref="L58:L60"/>
    <mergeCell ref="L63:L64"/>
    <mergeCell ref="B171:F171"/>
    <mergeCell ref="A166:L166"/>
    <mergeCell ref="A167:G167"/>
    <mergeCell ref="I167:K167"/>
    <mergeCell ref="A168:G168"/>
    <mergeCell ref="I168:K168"/>
    <mergeCell ref="A169:G169"/>
    <mergeCell ref="I169:K169"/>
    <mergeCell ref="L67:L100"/>
    <mergeCell ref="A101:L101"/>
    <mergeCell ref="L111:L119"/>
    <mergeCell ref="A120:L120"/>
    <mergeCell ref="L122:L147"/>
  </mergeCells>
  <pageMargins left="0.51181102362204722" right="0.51181102362204722" top="0.39370078740157483" bottom="0.39370078740157483" header="0.31496062992125984" footer="0.31496062992125984"/>
  <pageSetup paperSize="9" scale="66" fitToHeight="0" orientation="landscape" r:id="rId1"/>
  <rowBreaks count="3" manualBreakCount="3">
    <brk id="42" max="11" man="1"/>
    <brk id="160" max="11" man="1"/>
    <brk id="181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60"/>
  <sheetViews>
    <sheetView workbookViewId="0">
      <selection activeCell="K9" sqref="K9"/>
    </sheetView>
  </sheetViews>
  <sheetFormatPr defaultRowHeight="15" x14ac:dyDescent="0.25"/>
  <cols>
    <col min="1" max="1" width="2.5703125" customWidth="1"/>
    <col min="2" max="2" width="35" customWidth="1"/>
    <col min="3" max="3" width="7.42578125" bestFit="1" customWidth="1"/>
    <col min="4" max="4" width="10" bestFit="1" customWidth="1"/>
    <col min="5" max="5" width="12.7109375" bestFit="1" customWidth="1"/>
    <col min="6" max="6" width="10.42578125" bestFit="1" customWidth="1"/>
    <col min="7" max="7" width="10.28515625" customWidth="1"/>
    <col min="8" max="8" width="10.140625" bestFit="1" customWidth="1"/>
  </cols>
  <sheetData>
    <row r="1" spans="1:8" x14ac:dyDescent="0.25">
      <c r="A1" s="224"/>
      <c r="B1" s="224" t="s">
        <v>458</v>
      </c>
      <c r="C1" s="226"/>
      <c r="D1" s="225"/>
    </row>
    <row r="2" spans="1:8" s="35" customFormat="1" x14ac:dyDescent="0.25">
      <c r="A2" s="224"/>
      <c r="B2" s="224" t="s">
        <v>451</v>
      </c>
      <c r="C2" s="226"/>
      <c r="D2" s="225"/>
    </row>
    <row r="3" spans="1:8" s="35" customFormat="1" x14ac:dyDescent="0.25">
      <c r="A3" s="224"/>
      <c r="B3" s="224" t="s">
        <v>452</v>
      </c>
      <c r="C3" s="226"/>
      <c r="D3" s="225"/>
    </row>
    <row r="4" spans="1:8" s="35" customFormat="1" ht="18.75" customHeight="1" x14ac:dyDescent="0.25">
      <c r="A4" s="526"/>
      <c r="B4" s="495" t="s">
        <v>652</v>
      </c>
      <c r="C4" s="495"/>
      <c r="D4" s="495"/>
      <c r="E4" s="495"/>
      <c r="F4" s="495"/>
      <c r="G4" s="495"/>
      <c r="H4" s="495"/>
    </row>
    <row r="5" spans="1:8" s="35" customFormat="1" ht="18.75" customHeight="1" x14ac:dyDescent="0.25">
      <c r="A5" s="526"/>
      <c r="B5" s="495"/>
      <c r="C5" s="495"/>
      <c r="D5" s="495"/>
      <c r="E5" s="495"/>
      <c r="F5" s="495"/>
      <c r="G5" s="495"/>
      <c r="H5" s="495"/>
    </row>
    <row r="6" spans="1:8" s="35" customFormat="1" ht="15" customHeight="1" x14ac:dyDescent="0.25">
      <c r="A6" s="526"/>
      <c r="B6" s="495"/>
      <c r="C6" s="495"/>
      <c r="D6" s="495"/>
      <c r="E6" s="495"/>
      <c r="F6" s="495"/>
      <c r="G6" s="495"/>
      <c r="H6" s="495"/>
    </row>
    <row r="7" spans="1:8" s="35" customFormat="1" ht="15" customHeight="1" x14ac:dyDescent="0.25">
      <c r="A7" s="526"/>
      <c r="B7" s="527"/>
      <c r="C7" s="527"/>
      <c r="D7" s="527"/>
      <c r="E7" s="527"/>
      <c r="F7" s="527"/>
      <c r="G7" s="527"/>
      <c r="H7" s="527"/>
    </row>
    <row r="8" spans="1:8" s="35" customFormat="1" x14ac:dyDescent="0.25">
      <c r="B8" s="451" t="s">
        <v>227</v>
      </c>
      <c r="C8" s="452"/>
      <c r="D8" s="452"/>
      <c r="E8" s="452"/>
      <c r="F8" s="452"/>
      <c r="G8" s="452"/>
      <c r="H8" s="453"/>
    </row>
    <row r="9" spans="1:8" s="35" customFormat="1" x14ac:dyDescent="0.25">
      <c r="B9" s="448" t="s">
        <v>234</v>
      </c>
      <c r="C9" s="449"/>
      <c r="D9" s="449"/>
      <c r="E9" s="449"/>
      <c r="F9" s="449"/>
      <c r="G9" s="449"/>
      <c r="H9" s="450"/>
    </row>
    <row r="10" spans="1:8" s="35" customFormat="1" x14ac:dyDescent="0.25">
      <c r="B10" s="41" t="s">
        <v>124</v>
      </c>
      <c r="C10" s="42" t="s">
        <v>95</v>
      </c>
      <c r="D10" s="42" t="s">
        <v>125</v>
      </c>
      <c r="E10" s="42" t="s">
        <v>126</v>
      </c>
      <c r="F10" s="42" t="s">
        <v>127</v>
      </c>
      <c r="G10" s="42" t="s">
        <v>128</v>
      </c>
      <c r="H10" s="42" t="s">
        <v>129</v>
      </c>
    </row>
    <row r="11" spans="1:8" s="35" customFormat="1" x14ac:dyDescent="0.25">
      <c r="B11" s="41" t="s">
        <v>231</v>
      </c>
      <c r="C11" s="42" t="s">
        <v>10</v>
      </c>
      <c r="D11" s="46">
        <v>12.15</v>
      </c>
      <c r="E11" s="46">
        <v>7.36</v>
      </c>
      <c r="F11" s="46">
        <f t="shared" ref="F11:F16" si="0">D11*E11</f>
        <v>89.424000000000007</v>
      </c>
      <c r="G11" s="46" t="s">
        <v>138</v>
      </c>
      <c r="H11" s="47" t="s">
        <v>233</v>
      </c>
    </row>
    <row r="12" spans="1:8" s="35" customFormat="1" x14ac:dyDescent="0.25">
      <c r="B12" s="41" t="s">
        <v>232</v>
      </c>
      <c r="C12" s="42" t="s">
        <v>10</v>
      </c>
      <c r="D12" s="46">
        <v>12.15</v>
      </c>
      <c r="E12" s="46">
        <v>14.46</v>
      </c>
      <c r="F12" s="46">
        <f t="shared" si="0"/>
        <v>175.68900000000002</v>
      </c>
      <c r="G12" s="46" t="s">
        <v>143</v>
      </c>
      <c r="H12" s="47" t="s">
        <v>205</v>
      </c>
    </row>
    <row r="13" spans="1:8" s="35" customFormat="1" ht="15" customHeight="1" x14ac:dyDescent="0.25">
      <c r="B13" s="43" t="s">
        <v>236</v>
      </c>
      <c r="C13" s="44" t="s">
        <v>219</v>
      </c>
      <c r="D13" s="45">
        <f>1*1*0.5</f>
        <v>0.5</v>
      </c>
      <c r="E13" s="45">
        <v>23.13</v>
      </c>
      <c r="F13" s="46">
        <f t="shared" si="0"/>
        <v>11.565</v>
      </c>
      <c r="G13" s="46" t="s">
        <v>143</v>
      </c>
      <c r="H13" s="48" t="s">
        <v>226</v>
      </c>
    </row>
    <row r="14" spans="1:8" s="35" customFormat="1" ht="15" customHeight="1" x14ac:dyDescent="0.25">
      <c r="B14" s="43" t="s">
        <v>235</v>
      </c>
      <c r="C14" s="44" t="s">
        <v>219</v>
      </c>
      <c r="D14" s="45">
        <f>1*1*0.5</f>
        <v>0.5</v>
      </c>
      <c r="E14" s="45">
        <v>407.29</v>
      </c>
      <c r="F14" s="46">
        <f t="shared" si="0"/>
        <v>203.64500000000001</v>
      </c>
      <c r="G14" s="46" t="s">
        <v>143</v>
      </c>
      <c r="H14" s="48" t="s">
        <v>224</v>
      </c>
    </row>
    <row r="15" spans="1:8" s="35" customFormat="1" x14ac:dyDescent="0.25">
      <c r="B15" s="43" t="s">
        <v>208</v>
      </c>
      <c r="C15" s="44" t="s">
        <v>10</v>
      </c>
      <c r="D15" s="45">
        <v>12.15</v>
      </c>
      <c r="E15" s="45">
        <v>19.25</v>
      </c>
      <c r="F15" s="46">
        <f t="shared" si="0"/>
        <v>233.88750000000002</v>
      </c>
      <c r="G15" s="46" t="s">
        <v>143</v>
      </c>
      <c r="H15" s="48">
        <v>87620</v>
      </c>
    </row>
    <row r="16" spans="1:8" s="35" customFormat="1" x14ac:dyDescent="0.25">
      <c r="B16" s="43" t="s">
        <v>202</v>
      </c>
      <c r="C16" s="44" t="s">
        <v>10</v>
      </c>
      <c r="D16" s="45">
        <v>12.15</v>
      </c>
      <c r="E16" s="45">
        <v>30.46</v>
      </c>
      <c r="F16" s="46">
        <f t="shared" si="0"/>
        <v>370.089</v>
      </c>
      <c r="G16" s="46" t="s">
        <v>143</v>
      </c>
      <c r="H16" s="48" t="s">
        <v>237</v>
      </c>
    </row>
    <row r="17" spans="2:8" s="35" customFormat="1" x14ac:dyDescent="0.25">
      <c r="B17" s="43" t="s">
        <v>23</v>
      </c>
      <c r="C17" s="44"/>
      <c r="D17" s="45"/>
      <c r="E17" s="45"/>
      <c r="F17" s="45">
        <f>SUM(F11:F16)</f>
        <v>1084.2995000000001</v>
      </c>
      <c r="G17" s="46"/>
      <c r="H17" s="48"/>
    </row>
    <row r="18" spans="2:8" s="35" customFormat="1" x14ac:dyDescent="0.25"/>
    <row r="19" spans="2:8" s="35" customFormat="1" x14ac:dyDescent="0.25"/>
    <row r="20" spans="2:8" s="35" customFormat="1" x14ac:dyDescent="0.25">
      <c r="B20" s="451" t="s">
        <v>228</v>
      </c>
      <c r="C20" s="452"/>
      <c r="D20" s="452"/>
      <c r="E20" s="452"/>
      <c r="F20" s="452"/>
      <c r="G20" s="452"/>
      <c r="H20" s="453"/>
    </row>
    <row r="21" spans="2:8" s="35" customFormat="1" x14ac:dyDescent="0.25">
      <c r="B21" s="448" t="s">
        <v>218</v>
      </c>
      <c r="C21" s="449"/>
      <c r="D21" s="449"/>
      <c r="E21" s="449"/>
      <c r="F21" s="449"/>
      <c r="G21" s="449"/>
      <c r="H21" s="450"/>
    </row>
    <row r="22" spans="2:8" s="35" customFormat="1" x14ac:dyDescent="0.25">
      <c r="B22" s="41" t="s">
        <v>124</v>
      </c>
      <c r="C22" s="42" t="s">
        <v>95</v>
      </c>
      <c r="D22" s="42" t="s">
        <v>125</v>
      </c>
      <c r="E22" s="42" t="s">
        <v>126</v>
      </c>
      <c r="F22" s="42" t="s">
        <v>127</v>
      </c>
      <c r="G22" s="42" t="s">
        <v>128</v>
      </c>
      <c r="H22" s="42" t="s">
        <v>129</v>
      </c>
    </row>
    <row r="23" spans="2:8" s="35" customFormat="1" x14ac:dyDescent="0.25">
      <c r="B23" s="41" t="s">
        <v>236</v>
      </c>
      <c r="C23" s="42" t="s">
        <v>219</v>
      </c>
      <c r="D23" s="46">
        <f>(1.35+4.7+1.35+4.7)*0.3*0.3</f>
        <v>1.089</v>
      </c>
      <c r="E23" s="46">
        <v>23.13</v>
      </c>
      <c r="F23" s="46">
        <f>D23*E23</f>
        <v>25.188569999999999</v>
      </c>
      <c r="G23" s="46" t="s">
        <v>143</v>
      </c>
      <c r="H23" s="47" t="s">
        <v>226</v>
      </c>
    </row>
    <row r="24" spans="2:8" s="35" customFormat="1" x14ac:dyDescent="0.25">
      <c r="B24" s="41" t="s">
        <v>220</v>
      </c>
      <c r="C24" s="42" t="s">
        <v>219</v>
      </c>
      <c r="D24" s="46">
        <f>(3.12*0.25/2)+(3.12*0.25/2)+(1*0.25)</f>
        <v>1.03</v>
      </c>
      <c r="E24" s="46">
        <v>173.69</v>
      </c>
      <c r="F24" s="46">
        <f>D24*E24</f>
        <v>178.9007</v>
      </c>
      <c r="G24" s="46" t="s">
        <v>143</v>
      </c>
      <c r="H24" s="47" t="s">
        <v>225</v>
      </c>
    </row>
    <row r="25" spans="2:8" s="35" customFormat="1" x14ac:dyDescent="0.25">
      <c r="B25" s="43" t="s">
        <v>221</v>
      </c>
      <c r="C25" s="44" t="s">
        <v>219</v>
      </c>
      <c r="D25" s="45">
        <f>3.12*1.35*0.25</f>
        <v>1.0530000000000002</v>
      </c>
      <c r="E25" s="45">
        <v>407.29</v>
      </c>
      <c r="F25" s="46">
        <f>D25*E25</f>
        <v>428.87637000000007</v>
      </c>
      <c r="G25" s="46" t="s">
        <v>143</v>
      </c>
      <c r="H25" s="48" t="s">
        <v>224</v>
      </c>
    </row>
    <row r="26" spans="2:8" s="35" customFormat="1" x14ac:dyDescent="0.25">
      <c r="B26" s="43" t="s">
        <v>222</v>
      </c>
      <c r="C26" s="44" t="s">
        <v>10</v>
      </c>
      <c r="D26" s="45">
        <v>6.03</v>
      </c>
      <c r="E26" s="45">
        <v>6.01</v>
      </c>
      <c r="F26" s="46">
        <f>D26*E26</f>
        <v>36.240299999999998</v>
      </c>
      <c r="G26" s="46" t="s">
        <v>143</v>
      </c>
      <c r="H26" s="48" t="s">
        <v>223</v>
      </c>
    </row>
    <row r="27" spans="2:8" s="35" customFormat="1" x14ac:dyDescent="0.25">
      <c r="B27" s="43" t="s">
        <v>23</v>
      </c>
      <c r="C27" s="44"/>
      <c r="D27" s="45"/>
      <c r="E27" s="45"/>
      <c r="F27" s="45">
        <f>SUM(F23:F25)</f>
        <v>632.96564000000012</v>
      </c>
      <c r="G27" s="46"/>
      <c r="H27" s="48"/>
    </row>
    <row r="28" spans="2:8" s="35" customFormat="1" x14ac:dyDescent="0.25"/>
    <row r="29" spans="2:8" s="35" customFormat="1" x14ac:dyDescent="0.25"/>
    <row r="30" spans="2:8" s="35" customFormat="1" x14ac:dyDescent="0.25">
      <c r="B30" s="451" t="s">
        <v>238</v>
      </c>
      <c r="C30" s="452"/>
      <c r="D30" s="452"/>
      <c r="E30" s="452"/>
      <c r="F30" s="452"/>
      <c r="G30" s="452"/>
      <c r="H30" s="453"/>
    </row>
    <row r="31" spans="2:8" s="35" customFormat="1" x14ac:dyDescent="0.25">
      <c r="B31" s="448" t="s">
        <v>210</v>
      </c>
      <c r="C31" s="449"/>
      <c r="D31" s="449"/>
      <c r="E31" s="449"/>
      <c r="F31" s="449"/>
      <c r="G31" s="449"/>
      <c r="H31" s="450"/>
    </row>
    <row r="32" spans="2:8" s="35" customFormat="1" x14ac:dyDescent="0.25">
      <c r="B32" s="41" t="s">
        <v>124</v>
      </c>
      <c r="C32" s="42" t="s">
        <v>95</v>
      </c>
      <c r="D32" s="42" t="s">
        <v>125</v>
      </c>
      <c r="E32" s="42" t="s">
        <v>126</v>
      </c>
      <c r="F32" s="42" t="s">
        <v>127</v>
      </c>
      <c r="G32" s="42" t="s">
        <v>128</v>
      </c>
      <c r="H32" s="42" t="s">
        <v>129</v>
      </c>
    </row>
    <row r="33" spans="2:8" s="35" customFormat="1" x14ac:dyDescent="0.25">
      <c r="B33" s="41" t="s">
        <v>239</v>
      </c>
      <c r="C33" s="42" t="s">
        <v>240</v>
      </c>
      <c r="D33" s="46">
        <v>1</v>
      </c>
      <c r="E33" s="46">
        <v>9.15</v>
      </c>
      <c r="F33" s="46">
        <f t="shared" ref="F33:F38" si="1">D33*E33</f>
        <v>9.15</v>
      </c>
      <c r="G33" s="46" t="s">
        <v>143</v>
      </c>
      <c r="H33" s="47" t="s">
        <v>249</v>
      </c>
    </row>
    <row r="34" spans="2:8" s="35" customFormat="1" x14ac:dyDescent="0.25">
      <c r="B34" s="41" t="s">
        <v>241</v>
      </c>
      <c r="C34" s="42" t="s">
        <v>240</v>
      </c>
      <c r="D34" s="46">
        <v>0.3</v>
      </c>
      <c r="E34" s="46">
        <v>9.15</v>
      </c>
      <c r="F34" s="46">
        <f t="shared" si="1"/>
        <v>2.7450000000000001</v>
      </c>
      <c r="G34" s="46" t="s">
        <v>143</v>
      </c>
      <c r="H34" s="47" t="s">
        <v>248</v>
      </c>
    </row>
    <row r="35" spans="2:8" s="35" customFormat="1" x14ac:dyDescent="0.25">
      <c r="B35" s="41" t="s">
        <v>242</v>
      </c>
      <c r="C35" s="42" t="s">
        <v>240</v>
      </c>
      <c r="D35" s="46">
        <v>0.3</v>
      </c>
      <c r="E35" s="46">
        <v>6.4</v>
      </c>
      <c r="F35" s="46">
        <f t="shared" si="1"/>
        <v>1.92</v>
      </c>
      <c r="G35" s="46" t="s">
        <v>143</v>
      </c>
      <c r="H35" s="47" t="s">
        <v>247</v>
      </c>
    </row>
    <row r="36" spans="2:8" s="35" customFormat="1" x14ac:dyDescent="0.25">
      <c r="B36" s="41" t="s">
        <v>243</v>
      </c>
      <c r="C36" s="42" t="s">
        <v>244</v>
      </c>
      <c r="D36" s="46">
        <v>0.2</v>
      </c>
      <c r="E36" s="46">
        <v>16.93</v>
      </c>
      <c r="F36" s="46">
        <f t="shared" si="1"/>
        <v>3.3860000000000001</v>
      </c>
      <c r="G36" s="46" t="s">
        <v>138</v>
      </c>
      <c r="H36" s="47" t="s">
        <v>246</v>
      </c>
    </row>
    <row r="37" spans="2:8" s="35" customFormat="1" x14ac:dyDescent="0.25">
      <c r="B37" s="43" t="s">
        <v>250</v>
      </c>
      <c r="C37" s="44" t="s">
        <v>10</v>
      </c>
      <c r="D37" s="45">
        <v>4</v>
      </c>
      <c r="E37" s="45">
        <v>14.16</v>
      </c>
      <c r="F37" s="46">
        <f t="shared" si="1"/>
        <v>56.64</v>
      </c>
      <c r="G37" s="46" t="s">
        <v>138</v>
      </c>
      <c r="H37" s="48" t="s">
        <v>251</v>
      </c>
    </row>
    <row r="38" spans="2:8" s="35" customFormat="1" x14ac:dyDescent="0.25">
      <c r="B38" s="43" t="s">
        <v>245</v>
      </c>
      <c r="C38" s="44" t="s">
        <v>10</v>
      </c>
      <c r="D38" s="45">
        <v>1</v>
      </c>
      <c r="E38" s="45">
        <v>29.2</v>
      </c>
      <c r="F38" s="46">
        <f t="shared" si="1"/>
        <v>29.2</v>
      </c>
      <c r="G38" s="46" t="s">
        <v>138</v>
      </c>
      <c r="H38" s="48" t="s">
        <v>252</v>
      </c>
    </row>
    <row r="39" spans="2:8" s="35" customFormat="1" x14ac:dyDescent="0.25">
      <c r="B39" s="43" t="s">
        <v>23</v>
      </c>
      <c r="C39" s="44"/>
      <c r="D39" s="45"/>
      <c r="E39" s="45"/>
      <c r="F39" s="45">
        <f>SUM(F33:F37)</f>
        <v>73.841000000000008</v>
      </c>
      <c r="G39" s="46"/>
      <c r="H39" s="48"/>
    </row>
    <row r="40" spans="2:8" s="35" customFormat="1" x14ac:dyDescent="0.25"/>
    <row r="41" spans="2:8" s="35" customFormat="1" x14ac:dyDescent="0.25"/>
    <row r="42" spans="2:8" x14ac:dyDescent="0.25">
      <c r="B42" s="451" t="s">
        <v>157</v>
      </c>
      <c r="C42" s="452"/>
      <c r="D42" s="452"/>
      <c r="E42" s="452"/>
      <c r="F42" s="452"/>
      <c r="G42" s="452"/>
      <c r="H42" s="453"/>
    </row>
    <row r="43" spans="2:8" x14ac:dyDescent="0.25">
      <c r="B43" s="448" t="s">
        <v>159</v>
      </c>
      <c r="C43" s="449"/>
      <c r="D43" s="449"/>
      <c r="E43" s="449"/>
      <c r="F43" s="449"/>
      <c r="G43" s="449"/>
      <c r="H43" s="450"/>
    </row>
    <row r="44" spans="2:8" x14ac:dyDescent="0.25">
      <c r="B44" s="41" t="s">
        <v>124</v>
      </c>
      <c r="C44" s="42" t="s">
        <v>95</v>
      </c>
      <c r="D44" s="42" t="s">
        <v>125</v>
      </c>
      <c r="E44" s="42" t="s">
        <v>126</v>
      </c>
      <c r="F44" s="42" t="s">
        <v>127</v>
      </c>
      <c r="G44" s="46" t="s">
        <v>138</v>
      </c>
      <c r="H44" s="42" t="s">
        <v>129</v>
      </c>
    </row>
    <row r="45" spans="2:8" s="35" customFormat="1" x14ac:dyDescent="0.25">
      <c r="B45" s="41" t="s">
        <v>136</v>
      </c>
      <c r="C45" s="42" t="s">
        <v>5</v>
      </c>
      <c r="D45" s="46">
        <v>2</v>
      </c>
      <c r="E45" s="46">
        <v>76.31</v>
      </c>
      <c r="F45" s="46">
        <f>D45*E45</f>
        <v>152.62</v>
      </c>
      <c r="G45" s="46" t="s">
        <v>138</v>
      </c>
      <c r="H45" s="47" t="s">
        <v>139</v>
      </c>
    </row>
    <row r="46" spans="2:8" s="35" customFormat="1" x14ac:dyDescent="0.25">
      <c r="B46" s="41" t="s">
        <v>140</v>
      </c>
      <c r="C46" s="42" t="s">
        <v>5</v>
      </c>
      <c r="D46" s="46">
        <v>2</v>
      </c>
      <c r="E46" s="46">
        <v>33.15</v>
      </c>
      <c r="F46" s="46">
        <f t="shared" ref="F46:F57" si="2">D46*E46</f>
        <v>66.3</v>
      </c>
      <c r="G46" s="46" t="s">
        <v>138</v>
      </c>
      <c r="H46" s="47" t="s">
        <v>141</v>
      </c>
    </row>
    <row r="47" spans="2:8" x14ac:dyDescent="0.25">
      <c r="B47" s="43" t="s">
        <v>130</v>
      </c>
      <c r="C47" s="44" t="s">
        <v>10</v>
      </c>
      <c r="D47" s="45">
        <v>0.81</v>
      </c>
      <c r="E47" s="45">
        <v>13.97</v>
      </c>
      <c r="F47" s="46">
        <f t="shared" si="2"/>
        <v>11.315700000000001</v>
      </c>
      <c r="G47" s="46" t="s">
        <v>143</v>
      </c>
      <c r="H47" s="48" t="s">
        <v>142</v>
      </c>
    </row>
    <row r="48" spans="2:8" ht="25.5" x14ac:dyDescent="0.25">
      <c r="B48" s="43" t="s">
        <v>144</v>
      </c>
      <c r="C48" s="44" t="s">
        <v>5</v>
      </c>
      <c r="D48" s="45">
        <f>1.4*0.6</f>
        <v>0.84</v>
      </c>
      <c r="E48" s="45">
        <v>14.13</v>
      </c>
      <c r="F48" s="46">
        <f t="shared" si="2"/>
        <v>11.869200000000001</v>
      </c>
      <c r="G48" s="46" t="s">
        <v>138</v>
      </c>
      <c r="H48" s="48" t="s">
        <v>145</v>
      </c>
    </row>
    <row r="49" spans="2:8" x14ac:dyDescent="0.25">
      <c r="B49" s="43" t="s">
        <v>146</v>
      </c>
      <c r="C49" s="44" t="s">
        <v>10</v>
      </c>
      <c r="D49" s="45">
        <v>1.1399999999999999</v>
      </c>
      <c r="E49" s="45">
        <v>271.81</v>
      </c>
      <c r="F49" s="46">
        <f t="shared" si="2"/>
        <v>309.86339999999996</v>
      </c>
      <c r="G49" s="46" t="s">
        <v>138</v>
      </c>
      <c r="H49" s="48" t="s">
        <v>147</v>
      </c>
    </row>
    <row r="50" spans="2:8" x14ac:dyDescent="0.25">
      <c r="B50" s="43" t="s">
        <v>148</v>
      </c>
      <c r="C50" s="44" t="s">
        <v>5</v>
      </c>
      <c r="D50" s="45">
        <v>2</v>
      </c>
      <c r="E50" s="45">
        <v>38.03</v>
      </c>
      <c r="F50" s="46">
        <f t="shared" si="2"/>
        <v>76.06</v>
      </c>
      <c r="G50" s="46" t="s">
        <v>143</v>
      </c>
      <c r="H50" s="48" t="s">
        <v>149</v>
      </c>
    </row>
    <row r="51" spans="2:8" s="35" customFormat="1" x14ac:dyDescent="0.25">
      <c r="B51" s="43" t="s">
        <v>150</v>
      </c>
      <c r="C51" s="44" t="s">
        <v>10</v>
      </c>
      <c r="D51" s="45">
        <v>4.5</v>
      </c>
      <c r="E51" s="45">
        <v>45.59</v>
      </c>
      <c r="F51" s="46">
        <f t="shared" si="2"/>
        <v>205.15500000000003</v>
      </c>
      <c r="G51" s="46" t="s">
        <v>143</v>
      </c>
      <c r="H51" s="48" t="s">
        <v>151</v>
      </c>
    </row>
    <row r="52" spans="2:8" s="35" customFormat="1" x14ac:dyDescent="0.25">
      <c r="B52" s="43" t="s">
        <v>131</v>
      </c>
      <c r="C52" s="44" t="s">
        <v>10</v>
      </c>
      <c r="D52" s="45">
        <v>8.5</v>
      </c>
      <c r="E52" s="45">
        <v>2.36</v>
      </c>
      <c r="F52" s="46">
        <f t="shared" si="2"/>
        <v>20.059999999999999</v>
      </c>
      <c r="G52" s="46" t="s">
        <v>143</v>
      </c>
      <c r="H52" s="48" t="s">
        <v>152</v>
      </c>
    </row>
    <row r="53" spans="2:8" s="35" customFormat="1" x14ac:dyDescent="0.25">
      <c r="B53" s="43" t="s">
        <v>132</v>
      </c>
      <c r="C53" s="44" t="s">
        <v>10</v>
      </c>
      <c r="D53" s="45">
        <v>8.5</v>
      </c>
      <c r="E53" s="45">
        <v>12.18</v>
      </c>
      <c r="F53" s="46">
        <f t="shared" si="2"/>
        <v>103.53</v>
      </c>
      <c r="G53" s="46" t="s">
        <v>143</v>
      </c>
      <c r="H53" s="48" t="s">
        <v>153</v>
      </c>
    </row>
    <row r="54" spans="2:8" s="35" customFormat="1" x14ac:dyDescent="0.25">
      <c r="B54" s="43" t="s">
        <v>137</v>
      </c>
      <c r="C54" s="44" t="s">
        <v>10</v>
      </c>
      <c r="D54" s="45">
        <v>8.5</v>
      </c>
      <c r="E54" s="45">
        <v>9.2100000000000009</v>
      </c>
      <c r="F54" s="46">
        <f t="shared" si="2"/>
        <v>78.285000000000011</v>
      </c>
      <c r="G54" s="46" t="s">
        <v>138</v>
      </c>
      <c r="H54" s="48">
        <v>8624</v>
      </c>
    </row>
    <row r="55" spans="2:8" s="35" customFormat="1" x14ac:dyDescent="0.25">
      <c r="B55" s="43" t="s">
        <v>133</v>
      </c>
      <c r="C55" s="44" t="s">
        <v>10</v>
      </c>
      <c r="D55" s="45">
        <v>8.5</v>
      </c>
      <c r="E55" s="45">
        <v>1.51</v>
      </c>
      <c r="F55" s="46">
        <f t="shared" si="2"/>
        <v>12.835000000000001</v>
      </c>
      <c r="G55" s="46" t="s">
        <v>143</v>
      </c>
      <c r="H55" s="48" t="s">
        <v>154</v>
      </c>
    </row>
    <row r="56" spans="2:8" s="35" customFormat="1" x14ac:dyDescent="0.25">
      <c r="B56" s="43" t="s">
        <v>54</v>
      </c>
      <c r="C56" s="44" t="s">
        <v>10</v>
      </c>
      <c r="D56" s="45">
        <v>8.5</v>
      </c>
      <c r="E56" s="45">
        <v>6.71</v>
      </c>
      <c r="F56" s="46">
        <f t="shared" si="2"/>
        <v>57.034999999999997</v>
      </c>
      <c r="G56" s="46" t="s">
        <v>143</v>
      </c>
      <c r="H56" s="48">
        <v>84651</v>
      </c>
    </row>
    <row r="57" spans="2:8" s="35" customFormat="1" x14ac:dyDescent="0.25">
      <c r="B57" s="43" t="s">
        <v>134</v>
      </c>
      <c r="C57" s="44" t="s">
        <v>10</v>
      </c>
      <c r="D57" s="45">
        <f>1.8+1.2</f>
        <v>3</v>
      </c>
      <c r="E57" s="45">
        <v>271.81</v>
      </c>
      <c r="F57" s="46">
        <f t="shared" si="2"/>
        <v>815.43000000000006</v>
      </c>
      <c r="G57" s="46" t="s">
        <v>138</v>
      </c>
      <c r="H57" s="48" t="s">
        <v>147</v>
      </c>
    </row>
    <row r="58" spans="2:8" x14ac:dyDescent="0.25">
      <c r="B58" s="43" t="s">
        <v>135</v>
      </c>
      <c r="C58" s="44" t="s">
        <v>10</v>
      </c>
      <c r="D58" s="45">
        <f>0.13+0.15</f>
        <v>0.28000000000000003</v>
      </c>
      <c r="E58" s="45">
        <v>271.81</v>
      </c>
      <c r="F58" s="46">
        <f t="shared" ref="F58" si="3">D58*E58</f>
        <v>76.106800000000007</v>
      </c>
      <c r="G58" s="46" t="s">
        <v>138</v>
      </c>
      <c r="H58" s="48" t="s">
        <v>147</v>
      </c>
    </row>
    <row r="59" spans="2:8" x14ac:dyDescent="0.25">
      <c r="B59" s="43" t="s">
        <v>23</v>
      </c>
      <c r="C59" s="44"/>
      <c r="D59" s="45"/>
      <c r="E59" s="45"/>
      <c r="F59" s="45">
        <f>SUM(F45:F58)</f>
        <v>1996.4651000000001</v>
      </c>
      <c r="G59" s="46"/>
      <c r="H59" s="48"/>
    </row>
    <row r="62" spans="2:8" x14ac:dyDescent="0.25">
      <c r="B62" s="451" t="s">
        <v>158</v>
      </c>
      <c r="C62" s="452"/>
      <c r="D62" s="452"/>
      <c r="E62" s="452"/>
      <c r="F62" s="452"/>
      <c r="G62" s="452"/>
      <c r="H62" s="453"/>
    </row>
    <row r="63" spans="2:8" x14ac:dyDescent="0.25">
      <c r="B63" s="448" t="s">
        <v>160</v>
      </c>
      <c r="C63" s="449"/>
      <c r="D63" s="449"/>
      <c r="E63" s="449"/>
      <c r="F63" s="449"/>
      <c r="G63" s="449"/>
      <c r="H63" s="450"/>
    </row>
    <row r="64" spans="2:8" x14ac:dyDescent="0.25">
      <c r="B64" s="41" t="s">
        <v>124</v>
      </c>
      <c r="C64" s="42" t="s">
        <v>95</v>
      </c>
      <c r="D64" s="42" t="s">
        <v>125</v>
      </c>
      <c r="E64" s="42" t="s">
        <v>126</v>
      </c>
      <c r="F64" s="42" t="s">
        <v>127</v>
      </c>
      <c r="G64" s="42" t="s">
        <v>128</v>
      </c>
      <c r="H64" s="42" t="s">
        <v>129</v>
      </c>
    </row>
    <row r="65" spans="2:8" x14ac:dyDescent="0.25">
      <c r="B65" s="43" t="s">
        <v>150</v>
      </c>
      <c r="C65" s="44" t="s">
        <v>10</v>
      </c>
      <c r="D65" s="45">
        <v>4.54</v>
      </c>
      <c r="E65" s="45">
        <v>45.59</v>
      </c>
      <c r="F65" s="46">
        <f t="shared" ref="F65:F72" si="4">D65*E65</f>
        <v>206.97860000000003</v>
      </c>
      <c r="G65" s="46" t="s">
        <v>143</v>
      </c>
      <c r="H65" s="48" t="s">
        <v>151</v>
      </c>
    </row>
    <row r="66" spans="2:8" x14ac:dyDescent="0.25">
      <c r="B66" s="43" t="s">
        <v>131</v>
      </c>
      <c r="C66" s="44" t="s">
        <v>10</v>
      </c>
      <c r="D66" s="45">
        <v>8.9</v>
      </c>
      <c r="E66" s="45">
        <v>2.36</v>
      </c>
      <c r="F66" s="46">
        <f t="shared" si="4"/>
        <v>21.004000000000001</v>
      </c>
      <c r="G66" s="46" t="s">
        <v>143</v>
      </c>
      <c r="H66" s="48" t="s">
        <v>152</v>
      </c>
    </row>
    <row r="67" spans="2:8" x14ac:dyDescent="0.25">
      <c r="B67" s="43" t="s">
        <v>132</v>
      </c>
      <c r="C67" s="44" t="s">
        <v>10</v>
      </c>
      <c r="D67" s="45">
        <v>8.9</v>
      </c>
      <c r="E67" s="45">
        <v>12.18</v>
      </c>
      <c r="F67" s="46">
        <f t="shared" si="4"/>
        <v>108.402</v>
      </c>
      <c r="G67" s="46" t="s">
        <v>143</v>
      </c>
      <c r="H67" s="48" t="s">
        <v>153</v>
      </c>
    </row>
    <row r="68" spans="2:8" x14ac:dyDescent="0.25">
      <c r="B68" s="43" t="s">
        <v>137</v>
      </c>
      <c r="C68" s="44" t="s">
        <v>10</v>
      </c>
      <c r="D68" s="45">
        <v>8.9</v>
      </c>
      <c r="E68" s="45">
        <v>9.2100000000000009</v>
      </c>
      <c r="F68" s="46">
        <f t="shared" si="4"/>
        <v>81.969000000000008</v>
      </c>
      <c r="G68" s="46" t="s">
        <v>138</v>
      </c>
      <c r="H68" s="48">
        <v>8624</v>
      </c>
    </row>
    <row r="69" spans="2:8" x14ac:dyDescent="0.25">
      <c r="B69" s="43" t="s">
        <v>133</v>
      </c>
      <c r="C69" s="44" t="s">
        <v>10</v>
      </c>
      <c r="D69" s="45">
        <v>8.9</v>
      </c>
      <c r="E69" s="45">
        <v>1.51</v>
      </c>
      <c r="F69" s="46">
        <f t="shared" si="4"/>
        <v>13.439</v>
      </c>
      <c r="G69" s="46" t="s">
        <v>143</v>
      </c>
      <c r="H69" s="48" t="s">
        <v>154</v>
      </c>
    </row>
    <row r="70" spans="2:8" x14ac:dyDescent="0.25">
      <c r="B70" s="43" t="s">
        <v>54</v>
      </c>
      <c r="C70" s="44" t="s">
        <v>10</v>
      </c>
      <c r="D70" s="45">
        <v>8.9</v>
      </c>
      <c r="E70" s="45">
        <v>6.71</v>
      </c>
      <c r="F70" s="46">
        <f t="shared" si="4"/>
        <v>59.719000000000001</v>
      </c>
      <c r="G70" s="46" t="s">
        <v>143</v>
      </c>
      <c r="H70" s="48">
        <v>84651</v>
      </c>
    </row>
    <row r="71" spans="2:8" x14ac:dyDescent="0.25">
      <c r="B71" s="43" t="s">
        <v>134</v>
      </c>
      <c r="C71" s="44" t="s">
        <v>10</v>
      </c>
      <c r="D71" s="45">
        <v>2.2000000000000002</v>
      </c>
      <c r="E71" s="45">
        <v>271.81</v>
      </c>
      <c r="F71" s="46">
        <f t="shared" si="4"/>
        <v>597.98200000000008</v>
      </c>
      <c r="G71" s="46" t="s">
        <v>138</v>
      </c>
      <c r="H71" s="48" t="s">
        <v>147</v>
      </c>
    </row>
    <row r="72" spans="2:8" x14ac:dyDescent="0.25">
      <c r="B72" s="43" t="s">
        <v>135</v>
      </c>
      <c r="C72" s="44" t="s">
        <v>10</v>
      </c>
      <c r="D72" s="45">
        <v>0.2</v>
      </c>
      <c r="E72" s="45">
        <v>271.81</v>
      </c>
      <c r="F72" s="46">
        <f t="shared" si="4"/>
        <v>54.362000000000002</v>
      </c>
      <c r="G72" s="46" t="s">
        <v>138</v>
      </c>
      <c r="H72" s="48" t="s">
        <v>147</v>
      </c>
    </row>
    <row r="73" spans="2:8" x14ac:dyDescent="0.25">
      <c r="B73" s="43" t="s">
        <v>23</v>
      </c>
      <c r="C73" s="44"/>
      <c r="D73" s="45"/>
      <c r="E73" s="45"/>
      <c r="F73" s="45">
        <f>SUM(F65:F72)</f>
        <v>1143.8556000000003</v>
      </c>
      <c r="G73" s="46"/>
      <c r="H73" s="48"/>
    </row>
    <row r="76" spans="2:8" x14ac:dyDescent="0.25">
      <c r="B76" s="451" t="s">
        <v>165</v>
      </c>
      <c r="C76" s="452"/>
      <c r="D76" s="452"/>
      <c r="E76" s="452"/>
      <c r="F76" s="452"/>
      <c r="G76" s="452"/>
      <c r="H76" s="453"/>
    </row>
    <row r="77" spans="2:8" x14ac:dyDescent="0.25">
      <c r="B77" s="448" t="s">
        <v>161</v>
      </c>
      <c r="C77" s="449"/>
      <c r="D77" s="449"/>
      <c r="E77" s="449"/>
      <c r="F77" s="449"/>
      <c r="G77" s="449"/>
      <c r="H77" s="450"/>
    </row>
    <row r="78" spans="2:8" x14ac:dyDescent="0.25">
      <c r="B78" s="41" t="s">
        <v>124</v>
      </c>
      <c r="C78" s="42" t="s">
        <v>95</v>
      </c>
      <c r="D78" s="42" t="s">
        <v>125</v>
      </c>
      <c r="E78" s="42" t="s">
        <v>126</v>
      </c>
      <c r="F78" s="42" t="s">
        <v>127</v>
      </c>
      <c r="G78" s="42" t="s">
        <v>128</v>
      </c>
      <c r="H78" s="42" t="s">
        <v>129</v>
      </c>
    </row>
    <row r="79" spans="2:8" x14ac:dyDescent="0.25">
      <c r="B79" s="41" t="s">
        <v>136</v>
      </c>
      <c r="C79" s="42" t="s">
        <v>5</v>
      </c>
      <c r="D79" s="46">
        <v>1</v>
      </c>
      <c r="E79" s="46">
        <v>76.31</v>
      </c>
      <c r="F79" s="46">
        <f>D79*E79</f>
        <v>76.31</v>
      </c>
      <c r="G79" s="46" t="s">
        <v>138</v>
      </c>
      <c r="H79" s="47" t="s">
        <v>139</v>
      </c>
    </row>
    <row r="80" spans="2:8" x14ac:dyDescent="0.25">
      <c r="B80" s="41" t="s">
        <v>140</v>
      </c>
      <c r="C80" s="42" t="s">
        <v>5</v>
      </c>
      <c r="D80" s="46">
        <v>1</v>
      </c>
      <c r="E80" s="46">
        <v>33.15</v>
      </c>
      <c r="F80" s="46">
        <f t="shared" ref="F80:F91" si="5">D80*E80</f>
        <v>33.15</v>
      </c>
      <c r="G80" s="46" t="s">
        <v>138</v>
      </c>
      <c r="H80" s="47" t="s">
        <v>141</v>
      </c>
    </row>
    <row r="81" spans="2:8" x14ac:dyDescent="0.25">
      <c r="B81" s="43" t="s">
        <v>146</v>
      </c>
      <c r="C81" s="44" t="s">
        <v>10</v>
      </c>
      <c r="D81" s="45">
        <v>1.75</v>
      </c>
      <c r="E81" s="45">
        <v>271.81</v>
      </c>
      <c r="F81" s="46">
        <f t="shared" si="5"/>
        <v>475.66750000000002</v>
      </c>
      <c r="G81" s="46" t="s">
        <v>138</v>
      </c>
      <c r="H81" s="48" t="s">
        <v>147</v>
      </c>
    </row>
    <row r="82" spans="2:8" x14ac:dyDescent="0.25">
      <c r="B82" s="43" t="s">
        <v>148</v>
      </c>
      <c r="C82" s="44" t="s">
        <v>5</v>
      </c>
      <c r="D82" s="45">
        <v>1</v>
      </c>
      <c r="E82" s="45">
        <v>38.03</v>
      </c>
      <c r="F82" s="46">
        <f t="shared" si="5"/>
        <v>38.03</v>
      </c>
      <c r="G82" s="46" t="s">
        <v>143</v>
      </c>
      <c r="H82" s="48" t="s">
        <v>149</v>
      </c>
    </row>
    <row r="83" spans="2:8" x14ac:dyDescent="0.25">
      <c r="B83" s="43" t="s">
        <v>150</v>
      </c>
      <c r="C83" s="44" t="s">
        <v>10</v>
      </c>
      <c r="D83" s="45">
        <v>5.7</v>
      </c>
      <c r="E83" s="45">
        <v>45.59</v>
      </c>
      <c r="F83" s="46">
        <f t="shared" si="5"/>
        <v>259.863</v>
      </c>
      <c r="G83" s="46" t="s">
        <v>143</v>
      </c>
      <c r="H83" s="48" t="s">
        <v>151</v>
      </c>
    </row>
    <row r="84" spans="2:8" x14ac:dyDescent="0.25">
      <c r="B84" s="43" t="s">
        <v>131</v>
      </c>
      <c r="C84" s="44" t="s">
        <v>10</v>
      </c>
      <c r="D84" s="45">
        <v>11.5</v>
      </c>
      <c r="E84" s="45">
        <v>2.36</v>
      </c>
      <c r="F84" s="46">
        <f t="shared" si="5"/>
        <v>27.139999999999997</v>
      </c>
      <c r="G84" s="46" t="s">
        <v>143</v>
      </c>
      <c r="H84" s="48" t="s">
        <v>152</v>
      </c>
    </row>
    <row r="85" spans="2:8" x14ac:dyDescent="0.25">
      <c r="B85" s="43" t="s">
        <v>132</v>
      </c>
      <c r="C85" s="44" t="s">
        <v>10</v>
      </c>
      <c r="D85" s="45">
        <v>11.5</v>
      </c>
      <c r="E85" s="45">
        <v>12.18</v>
      </c>
      <c r="F85" s="46">
        <f t="shared" si="5"/>
        <v>140.07</v>
      </c>
      <c r="G85" s="46" t="s">
        <v>143</v>
      </c>
      <c r="H85" s="48" t="s">
        <v>153</v>
      </c>
    </row>
    <row r="86" spans="2:8" x14ac:dyDescent="0.25">
      <c r="B86" s="43" t="s">
        <v>137</v>
      </c>
      <c r="C86" s="44" t="s">
        <v>10</v>
      </c>
      <c r="D86" s="45">
        <v>11.5</v>
      </c>
      <c r="E86" s="45">
        <v>9.2100000000000009</v>
      </c>
      <c r="F86" s="46">
        <f t="shared" si="5"/>
        <v>105.91500000000001</v>
      </c>
      <c r="G86" s="46" t="s">
        <v>138</v>
      </c>
      <c r="H86" s="48">
        <v>8624</v>
      </c>
    </row>
    <row r="87" spans="2:8" x14ac:dyDescent="0.25">
      <c r="B87" s="43" t="s">
        <v>133</v>
      </c>
      <c r="C87" s="44" t="s">
        <v>10</v>
      </c>
      <c r="D87" s="45">
        <v>11.5</v>
      </c>
      <c r="E87" s="45">
        <v>1.51</v>
      </c>
      <c r="F87" s="46">
        <f t="shared" si="5"/>
        <v>17.364999999999998</v>
      </c>
      <c r="G87" s="46" t="s">
        <v>143</v>
      </c>
      <c r="H87" s="48" t="s">
        <v>154</v>
      </c>
    </row>
    <row r="88" spans="2:8" x14ac:dyDescent="0.25">
      <c r="B88" s="43" t="s">
        <v>54</v>
      </c>
      <c r="C88" s="44" t="s">
        <v>10</v>
      </c>
      <c r="D88" s="45">
        <v>11.5</v>
      </c>
      <c r="E88" s="45">
        <v>6.71</v>
      </c>
      <c r="F88" s="46">
        <f t="shared" si="5"/>
        <v>77.165000000000006</v>
      </c>
      <c r="G88" s="46" t="s">
        <v>143</v>
      </c>
      <c r="H88" s="48">
        <v>84651</v>
      </c>
    </row>
    <row r="89" spans="2:8" x14ac:dyDescent="0.25">
      <c r="B89" s="43" t="s">
        <v>134</v>
      </c>
      <c r="C89" s="44" t="s">
        <v>10</v>
      </c>
      <c r="D89" s="45">
        <v>2.6</v>
      </c>
      <c r="E89" s="45">
        <v>271.81</v>
      </c>
      <c r="F89" s="46">
        <f t="shared" si="5"/>
        <v>706.70600000000002</v>
      </c>
      <c r="G89" s="46" t="s">
        <v>138</v>
      </c>
      <c r="H89" s="48" t="s">
        <v>147</v>
      </c>
    </row>
    <row r="90" spans="2:8" x14ac:dyDescent="0.25">
      <c r="B90" s="43" t="s">
        <v>135</v>
      </c>
      <c r="C90" s="44" t="s">
        <v>10</v>
      </c>
      <c r="D90" s="45">
        <v>0.25</v>
      </c>
      <c r="E90" s="45">
        <v>271.81</v>
      </c>
      <c r="F90" s="46">
        <f t="shared" si="5"/>
        <v>67.952500000000001</v>
      </c>
      <c r="G90" s="46" t="s">
        <v>138</v>
      </c>
      <c r="H90" s="48" t="s">
        <v>147</v>
      </c>
    </row>
    <row r="91" spans="2:8" s="35" customFormat="1" x14ac:dyDescent="0.25">
      <c r="B91" s="43" t="s">
        <v>155</v>
      </c>
      <c r="C91" s="44" t="s">
        <v>5</v>
      </c>
      <c r="D91" s="45">
        <v>1</v>
      </c>
      <c r="E91" s="45">
        <v>108.35</v>
      </c>
      <c r="F91" s="46">
        <f t="shared" si="5"/>
        <v>108.35</v>
      </c>
      <c r="G91" s="46" t="s">
        <v>143</v>
      </c>
      <c r="H91" s="48" t="s">
        <v>156</v>
      </c>
    </row>
    <row r="92" spans="2:8" x14ac:dyDescent="0.25">
      <c r="B92" s="43" t="s">
        <v>23</v>
      </c>
      <c r="C92" s="44"/>
      <c r="D92" s="45"/>
      <c r="E92" s="45"/>
      <c r="F92" s="45">
        <f>SUM(F79:F91)</f>
        <v>2133.6840000000002</v>
      </c>
      <c r="G92" s="46"/>
      <c r="H92" s="48"/>
    </row>
    <row r="94" spans="2:8" s="35" customFormat="1" x14ac:dyDescent="0.25"/>
    <row r="95" spans="2:8" s="35" customFormat="1" x14ac:dyDescent="0.25">
      <c r="B95" s="451" t="s">
        <v>166</v>
      </c>
      <c r="C95" s="452"/>
      <c r="D95" s="452"/>
      <c r="E95" s="452"/>
      <c r="F95" s="452"/>
      <c r="G95" s="452"/>
      <c r="H95" s="453"/>
    </row>
    <row r="96" spans="2:8" s="35" customFormat="1" x14ac:dyDescent="0.25">
      <c r="B96" s="448" t="s">
        <v>162</v>
      </c>
      <c r="C96" s="449"/>
      <c r="D96" s="449"/>
      <c r="E96" s="449"/>
      <c r="F96" s="449"/>
      <c r="G96" s="449"/>
      <c r="H96" s="450"/>
    </row>
    <row r="97" spans="2:8" s="35" customFormat="1" x14ac:dyDescent="0.25">
      <c r="B97" s="41" t="s">
        <v>124</v>
      </c>
      <c r="C97" s="42" t="s">
        <v>95</v>
      </c>
      <c r="D97" s="42" t="s">
        <v>125</v>
      </c>
      <c r="E97" s="42" t="s">
        <v>126</v>
      </c>
      <c r="F97" s="42" t="s">
        <v>127</v>
      </c>
      <c r="G97" s="42" t="s">
        <v>128</v>
      </c>
      <c r="H97" s="42" t="s">
        <v>129</v>
      </c>
    </row>
    <row r="98" spans="2:8" s="35" customFormat="1" x14ac:dyDescent="0.25">
      <c r="B98" s="41" t="s">
        <v>136</v>
      </c>
      <c r="C98" s="42" t="s">
        <v>5</v>
      </c>
      <c r="D98" s="46">
        <v>1</v>
      </c>
      <c r="E98" s="46">
        <v>76.31</v>
      </c>
      <c r="F98" s="46">
        <f>D98*E98</f>
        <v>76.31</v>
      </c>
      <c r="G98" s="46" t="s">
        <v>138</v>
      </c>
      <c r="H98" s="47" t="s">
        <v>139</v>
      </c>
    </row>
    <row r="99" spans="2:8" s="35" customFormat="1" x14ac:dyDescent="0.25">
      <c r="B99" s="41" t="s">
        <v>140</v>
      </c>
      <c r="C99" s="42" t="s">
        <v>5</v>
      </c>
      <c r="D99" s="46">
        <v>1</v>
      </c>
      <c r="E99" s="46">
        <v>33.15</v>
      </c>
      <c r="F99" s="46">
        <f t="shared" ref="F99:F110" si="6">D99*E99</f>
        <v>33.15</v>
      </c>
      <c r="G99" s="46" t="s">
        <v>138</v>
      </c>
      <c r="H99" s="47" t="s">
        <v>141</v>
      </c>
    </row>
    <row r="100" spans="2:8" s="35" customFormat="1" x14ac:dyDescent="0.25">
      <c r="B100" s="43" t="s">
        <v>146</v>
      </c>
      <c r="C100" s="44" t="s">
        <v>10</v>
      </c>
      <c r="D100" s="45">
        <v>1.75</v>
      </c>
      <c r="E100" s="45">
        <v>271.81</v>
      </c>
      <c r="F100" s="46">
        <f t="shared" si="6"/>
        <v>475.66750000000002</v>
      </c>
      <c r="G100" s="46" t="s">
        <v>138</v>
      </c>
      <c r="H100" s="48" t="s">
        <v>147</v>
      </c>
    </row>
    <row r="101" spans="2:8" s="35" customFormat="1" x14ac:dyDescent="0.25">
      <c r="B101" s="43" t="s">
        <v>148</v>
      </c>
      <c r="C101" s="44" t="s">
        <v>5</v>
      </c>
      <c r="D101" s="45">
        <v>1</v>
      </c>
      <c r="E101" s="45">
        <v>38.03</v>
      </c>
      <c r="F101" s="46">
        <f t="shared" si="6"/>
        <v>38.03</v>
      </c>
      <c r="G101" s="46" t="s">
        <v>143</v>
      </c>
      <c r="H101" s="48" t="s">
        <v>149</v>
      </c>
    </row>
    <row r="102" spans="2:8" s="35" customFormat="1" x14ac:dyDescent="0.25">
      <c r="B102" s="43" t="s">
        <v>150</v>
      </c>
      <c r="C102" s="44" t="s">
        <v>10</v>
      </c>
      <c r="D102" s="45">
        <v>5.7</v>
      </c>
      <c r="E102" s="45">
        <v>45.59</v>
      </c>
      <c r="F102" s="46">
        <f t="shared" si="6"/>
        <v>259.863</v>
      </c>
      <c r="G102" s="46" t="s">
        <v>143</v>
      </c>
      <c r="H102" s="48" t="s">
        <v>151</v>
      </c>
    </row>
    <row r="103" spans="2:8" s="35" customFormat="1" x14ac:dyDescent="0.25">
      <c r="B103" s="43" t="s">
        <v>131</v>
      </c>
      <c r="C103" s="44" t="s">
        <v>10</v>
      </c>
      <c r="D103" s="45">
        <v>11.5</v>
      </c>
      <c r="E103" s="45">
        <v>2.36</v>
      </c>
      <c r="F103" s="46">
        <f t="shared" si="6"/>
        <v>27.139999999999997</v>
      </c>
      <c r="G103" s="46" t="s">
        <v>143</v>
      </c>
      <c r="H103" s="48" t="s">
        <v>152</v>
      </c>
    </row>
    <row r="104" spans="2:8" s="35" customFormat="1" x14ac:dyDescent="0.25">
      <c r="B104" s="43" t="s">
        <v>132</v>
      </c>
      <c r="C104" s="44" t="s">
        <v>10</v>
      </c>
      <c r="D104" s="45">
        <v>11.5</v>
      </c>
      <c r="E104" s="45">
        <v>12.18</v>
      </c>
      <c r="F104" s="46">
        <f t="shared" si="6"/>
        <v>140.07</v>
      </c>
      <c r="G104" s="46" t="s">
        <v>143</v>
      </c>
      <c r="H104" s="48" t="s">
        <v>153</v>
      </c>
    </row>
    <row r="105" spans="2:8" s="35" customFormat="1" x14ac:dyDescent="0.25">
      <c r="B105" s="43" t="s">
        <v>137</v>
      </c>
      <c r="C105" s="44" t="s">
        <v>10</v>
      </c>
      <c r="D105" s="45">
        <v>11.5</v>
      </c>
      <c r="E105" s="45">
        <v>9.2100000000000009</v>
      </c>
      <c r="F105" s="46">
        <f t="shared" si="6"/>
        <v>105.91500000000001</v>
      </c>
      <c r="G105" s="46" t="s">
        <v>138</v>
      </c>
      <c r="H105" s="48">
        <v>8624</v>
      </c>
    </row>
    <row r="106" spans="2:8" s="35" customFormat="1" x14ac:dyDescent="0.25">
      <c r="B106" s="43" t="s">
        <v>133</v>
      </c>
      <c r="C106" s="44" t="s">
        <v>10</v>
      </c>
      <c r="D106" s="45">
        <v>11.5</v>
      </c>
      <c r="E106" s="45">
        <v>1.51</v>
      </c>
      <c r="F106" s="46">
        <f t="shared" si="6"/>
        <v>17.364999999999998</v>
      </c>
      <c r="G106" s="46" t="s">
        <v>143</v>
      </c>
      <c r="H106" s="48" t="s">
        <v>154</v>
      </c>
    </row>
    <row r="107" spans="2:8" s="35" customFormat="1" x14ac:dyDescent="0.25">
      <c r="B107" s="43" t="s">
        <v>54</v>
      </c>
      <c r="C107" s="44" t="s">
        <v>10</v>
      </c>
      <c r="D107" s="45">
        <v>11.5</v>
      </c>
      <c r="E107" s="45">
        <v>6.71</v>
      </c>
      <c r="F107" s="46">
        <f t="shared" si="6"/>
        <v>77.165000000000006</v>
      </c>
      <c r="G107" s="46" t="s">
        <v>143</v>
      </c>
      <c r="H107" s="48">
        <v>84651</v>
      </c>
    </row>
    <row r="108" spans="2:8" s="35" customFormat="1" x14ac:dyDescent="0.25">
      <c r="B108" s="43" t="s">
        <v>134</v>
      </c>
      <c r="C108" s="44" t="s">
        <v>10</v>
      </c>
      <c r="D108" s="45">
        <v>2.6</v>
      </c>
      <c r="E108" s="45">
        <v>271.81</v>
      </c>
      <c r="F108" s="46">
        <f t="shared" si="6"/>
        <v>706.70600000000002</v>
      </c>
      <c r="G108" s="46" t="s">
        <v>138</v>
      </c>
      <c r="H108" s="48" t="s">
        <v>147</v>
      </c>
    </row>
    <row r="109" spans="2:8" s="35" customFormat="1" x14ac:dyDescent="0.25">
      <c r="B109" s="43" t="s">
        <v>135</v>
      </c>
      <c r="C109" s="44" t="s">
        <v>10</v>
      </c>
      <c r="D109" s="45">
        <v>0.25</v>
      </c>
      <c r="E109" s="45">
        <v>271.81</v>
      </c>
      <c r="F109" s="46">
        <f t="shared" si="6"/>
        <v>67.952500000000001</v>
      </c>
      <c r="G109" s="46" t="s">
        <v>138</v>
      </c>
      <c r="H109" s="48" t="s">
        <v>147</v>
      </c>
    </row>
    <row r="110" spans="2:8" s="35" customFormat="1" x14ac:dyDescent="0.25">
      <c r="B110" s="43" t="s">
        <v>155</v>
      </c>
      <c r="C110" s="44" t="s">
        <v>5</v>
      </c>
      <c r="D110" s="45">
        <v>1</v>
      </c>
      <c r="E110" s="45">
        <v>108.35</v>
      </c>
      <c r="F110" s="46">
        <f t="shared" si="6"/>
        <v>108.35</v>
      </c>
      <c r="G110" s="46" t="s">
        <v>143</v>
      </c>
      <c r="H110" s="48" t="s">
        <v>156</v>
      </c>
    </row>
    <row r="111" spans="2:8" x14ac:dyDescent="0.25">
      <c r="B111" s="43" t="s">
        <v>23</v>
      </c>
      <c r="C111" s="44"/>
      <c r="D111" s="45"/>
      <c r="E111" s="45"/>
      <c r="F111" s="46">
        <f>SUM(F98:F110)</f>
        <v>2133.6840000000002</v>
      </c>
      <c r="G111" s="46"/>
      <c r="H111" s="48"/>
    </row>
    <row r="112" spans="2:8" s="35" customFormat="1" x14ac:dyDescent="0.25">
      <c r="B112" s="49"/>
      <c r="C112" s="50"/>
      <c r="D112" s="51"/>
      <c r="E112" s="51"/>
      <c r="F112" s="51"/>
      <c r="G112" s="52"/>
      <c r="H112" s="53"/>
    </row>
    <row r="113" spans="2:8" s="35" customFormat="1" x14ac:dyDescent="0.25">
      <c r="B113" s="49"/>
      <c r="C113" s="50"/>
      <c r="D113" s="51"/>
      <c r="E113" s="51"/>
      <c r="F113" s="51"/>
      <c r="G113" s="52"/>
      <c r="H113" s="53"/>
    </row>
    <row r="114" spans="2:8" x14ac:dyDescent="0.25">
      <c r="B114" s="454" t="s">
        <v>167</v>
      </c>
      <c r="C114" s="454"/>
      <c r="D114" s="454"/>
      <c r="E114" s="454"/>
      <c r="F114" s="454"/>
      <c r="G114" s="454"/>
      <c r="H114" s="454"/>
    </row>
    <row r="115" spans="2:8" x14ac:dyDescent="0.25">
      <c r="B115" s="448" t="s">
        <v>163</v>
      </c>
      <c r="C115" s="449"/>
      <c r="D115" s="449"/>
      <c r="E115" s="449"/>
      <c r="F115" s="449"/>
      <c r="G115" s="449"/>
      <c r="H115" s="450"/>
    </row>
    <row r="116" spans="2:8" x14ac:dyDescent="0.25">
      <c r="B116" s="41" t="s">
        <v>124</v>
      </c>
      <c r="C116" s="42" t="s">
        <v>95</v>
      </c>
      <c r="D116" s="42" t="s">
        <v>125</v>
      </c>
      <c r="E116" s="42" t="s">
        <v>126</v>
      </c>
      <c r="F116" s="42" t="s">
        <v>127</v>
      </c>
      <c r="G116" s="42" t="s">
        <v>128</v>
      </c>
      <c r="H116" s="42" t="s">
        <v>129</v>
      </c>
    </row>
    <row r="117" spans="2:8" x14ac:dyDescent="0.25">
      <c r="B117" s="41" t="s">
        <v>136</v>
      </c>
      <c r="C117" s="42" t="s">
        <v>5</v>
      </c>
      <c r="D117" s="46">
        <v>1</v>
      </c>
      <c r="E117" s="46">
        <v>76.31</v>
      </c>
      <c r="F117" s="46">
        <f>D117*E117</f>
        <v>76.31</v>
      </c>
      <c r="G117" s="46" t="s">
        <v>138</v>
      </c>
      <c r="H117" s="47" t="s">
        <v>139</v>
      </c>
    </row>
    <row r="118" spans="2:8" x14ac:dyDescent="0.25">
      <c r="B118" s="41" t="s">
        <v>140</v>
      </c>
      <c r="C118" s="42" t="s">
        <v>5</v>
      </c>
      <c r="D118" s="46">
        <v>1</v>
      </c>
      <c r="E118" s="46">
        <v>33.15</v>
      </c>
      <c r="F118" s="46">
        <f t="shared" ref="F118:F128" si="7">D118*E118</f>
        <v>33.15</v>
      </c>
      <c r="G118" s="46" t="s">
        <v>138</v>
      </c>
      <c r="H118" s="47" t="s">
        <v>141</v>
      </c>
    </row>
    <row r="119" spans="2:8" x14ac:dyDescent="0.25">
      <c r="B119" s="43" t="s">
        <v>148</v>
      </c>
      <c r="C119" s="44" t="s">
        <v>5</v>
      </c>
      <c r="D119" s="45">
        <v>1</v>
      </c>
      <c r="E119" s="45">
        <v>38.03</v>
      </c>
      <c r="F119" s="46">
        <f t="shared" si="7"/>
        <v>38.03</v>
      </c>
      <c r="G119" s="46" t="s">
        <v>143</v>
      </c>
      <c r="H119" s="48" t="s">
        <v>149</v>
      </c>
    </row>
    <row r="120" spans="2:8" x14ac:dyDescent="0.25">
      <c r="B120" s="43" t="s">
        <v>150</v>
      </c>
      <c r="C120" s="44" t="s">
        <v>10</v>
      </c>
      <c r="D120" s="45">
        <v>5.7</v>
      </c>
      <c r="E120" s="45">
        <v>45.59</v>
      </c>
      <c r="F120" s="46">
        <f t="shared" si="7"/>
        <v>259.863</v>
      </c>
      <c r="G120" s="46" t="s">
        <v>143</v>
      </c>
      <c r="H120" s="48" t="s">
        <v>151</v>
      </c>
    </row>
    <row r="121" spans="2:8" x14ac:dyDescent="0.25">
      <c r="B121" s="43" t="s">
        <v>131</v>
      </c>
      <c r="C121" s="44" t="s">
        <v>10</v>
      </c>
      <c r="D121" s="45">
        <v>11.4</v>
      </c>
      <c r="E121" s="45">
        <v>2.36</v>
      </c>
      <c r="F121" s="46">
        <f t="shared" si="7"/>
        <v>26.904</v>
      </c>
      <c r="G121" s="46" t="s">
        <v>143</v>
      </c>
      <c r="H121" s="48" t="s">
        <v>152</v>
      </c>
    </row>
    <row r="122" spans="2:8" x14ac:dyDescent="0.25">
      <c r="B122" s="43" t="s">
        <v>132</v>
      </c>
      <c r="C122" s="44" t="s">
        <v>10</v>
      </c>
      <c r="D122" s="45">
        <v>11.4</v>
      </c>
      <c r="E122" s="45">
        <v>12.18</v>
      </c>
      <c r="F122" s="46">
        <f t="shared" si="7"/>
        <v>138.852</v>
      </c>
      <c r="G122" s="46" t="s">
        <v>143</v>
      </c>
      <c r="H122" s="48" t="s">
        <v>153</v>
      </c>
    </row>
    <row r="123" spans="2:8" x14ac:dyDescent="0.25">
      <c r="B123" s="43" t="s">
        <v>137</v>
      </c>
      <c r="C123" s="44" t="s">
        <v>10</v>
      </c>
      <c r="D123" s="45">
        <v>11.4</v>
      </c>
      <c r="E123" s="45">
        <v>9.2100000000000009</v>
      </c>
      <c r="F123" s="46">
        <f t="shared" si="7"/>
        <v>104.99400000000001</v>
      </c>
      <c r="G123" s="46" t="s">
        <v>138</v>
      </c>
      <c r="H123" s="48">
        <v>8624</v>
      </c>
    </row>
    <row r="124" spans="2:8" x14ac:dyDescent="0.25">
      <c r="B124" s="43" t="s">
        <v>133</v>
      </c>
      <c r="C124" s="44" t="s">
        <v>10</v>
      </c>
      <c r="D124" s="45">
        <v>11.4</v>
      </c>
      <c r="E124" s="45">
        <v>1.51</v>
      </c>
      <c r="F124" s="46">
        <f t="shared" si="7"/>
        <v>17.214000000000002</v>
      </c>
      <c r="G124" s="46" t="s">
        <v>143</v>
      </c>
      <c r="H124" s="48" t="s">
        <v>154</v>
      </c>
    </row>
    <row r="125" spans="2:8" x14ac:dyDescent="0.25">
      <c r="B125" s="43" t="s">
        <v>54</v>
      </c>
      <c r="C125" s="44" t="s">
        <v>10</v>
      </c>
      <c r="D125" s="45">
        <v>11.4</v>
      </c>
      <c r="E125" s="45">
        <v>6.71</v>
      </c>
      <c r="F125" s="46">
        <f t="shared" si="7"/>
        <v>76.494</v>
      </c>
      <c r="G125" s="46" t="s">
        <v>143</v>
      </c>
      <c r="H125" s="48">
        <v>84651</v>
      </c>
    </row>
    <row r="126" spans="2:8" x14ac:dyDescent="0.25">
      <c r="B126" s="43" t="s">
        <v>134</v>
      </c>
      <c r="C126" s="44" t="s">
        <v>10</v>
      </c>
      <c r="D126" s="45">
        <v>2.5</v>
      </c>
      <c r="E126" s="45">
        <v>271.81</v>
      </c>
      <c r="F126" s="46">
        <f t="shared" si="7"/>
        <v>679.52499999999998</v>
      </c>
      <c r="G126" s="46" t="s">
        <v>138</v>
      </c>
      <c r="H126" s="48" t="s">
        <v>147</v>
      </c>
    </row>
    <row r="127" spans="2:8" x14ac:dyDescent="0.25">
      <c r="B127" s="43" t="s">
        <v>135</v>
      </c>
      <c r="C127" s="44" t="s">
        <v>10</v>
      </c>
      <c r="D127" s="45">
        <v>0.22</v>
      </c>
      <c r="E127" s="45">
        <v>271.81</v>
      </c>
      <c r="F127" s="46">
        <f t="shared" si="7"/>
        <v>59.798200000000001</v>
      </c>
      <c r="G127" s="46" t="s">
        <v>138</v>
      </c>
      <c r="H127" s="48" t="s">
        <v>147</v>
      </c>
    </row>
    <row r="128" spans="2:8" x14ac:dyDescent="0.25">
      <c r="B128" s="43" t="s">
        <v>155</v>
      </c>
      <c r="C128" s="44" t="s">
        <v>5</v>
      </c>
      <c r="D128" s="45">
        <v>1</v>
      </c>
      <c r="E128" s="45">
        <v>108.35</v>
      </c>
      <c r="F128" s="46">
        <f t="shared" si="7"/>
        <v>108.35</v>
      </c>
      <c r="G128" s="46" t="s">
        <v>143</v>
      </c>
      <c r="H128" s="48" t="s">
        <v>156</v>
      </c>
    </row>
    <row r="129" spans="2:8" x14ac:dyDescent="0.25">
      <c r="B129" s="43" t="s">
        <v>23</v>
      </c>
      <c r="C129" s="44"/>
      <c r="D129" s="45"/>
      <c r="E129" s="45"/>
      <c r="F129" s="45">
        <f>SUM(F117:F128)</f>
        <v>1619.4842000000001</v>
      </c>
      <c r="G129" s="46"/>
      <c r="H129" s="48"/>
    </row>
    <row r="132" spans="2:8" x14ac:dyDescent="0.25">
      <c r="B132" s="451" t="s">
        <v>170</v>
      </c>
      <c r="C132" s="452"/>
      <c r="D132" s="452"/>
      <c r="E132" s="452"/>
      <c r="F132" s="452"/>
      <c r="G132" s="452"/>
      <c r="H132" s="453"/>
    </row>
    <row r="133" spans="2:8" x14ac:dyDescent="0.25">
      <c r="B133" s="448" t="s">
        <v>164</v>
      </c>
      <c r="C133" s="449"/>
      <c r="D133" s="449"/>
      <c r="E133" s="449"/>
      <c r="F133" s="449"/>
      <c r="G133" s="449"/>
      <c r="H133" s="450"/>
    </row>
    <row r="134" spans="2:8" x14ac:dyDescent="0.25">
      <c r="B134" s="41" t="s">
        <v>124</v>
      </c>
      <c r="C134" s="42" t="s">
        <v>95</v>
      </c>
      <c r="D134" s="42" t="s">
        <v>125</v>
      </c>
      <c r="E134" s="42" t="s">
        <v>126</v>
      </c>
      <c r="F134" s="42" t="s">
        <v>127</v>
      </c>
      <c r="G134" s="42" t="s">
        <v>128</v>
      </c>
      <c r="H134" s="42" t="s">
        <v>129</v>
      </c>
    </row>
    <row r="135" spans="2:8" x14ac:dyDescent="0.25">
      <c r="B135" s="41" t="s">
        <v>136</v>
      </c>
      <c r="C135" s="42" t="s">
        <v>5</v>
      </c>
      <c r="D135" s="46">
        <v>1</v>
      </c>
      <c r="E135" s="46">
        <v>76.31</v>
      </c>
      <c r="F135" s="46">
        <f>D135*E135</f>
        <v>76.31</v>
      </c>
      <c r="G135" s="46" t="s">
        <v>138</v>
      </c>
      <c r="H135" s="47" t="s">
        <v>139</v>
      </c>
    </row>
    <row r="136" spans="2:8" x14ac:dyDescent="0.25">
      <c r="B136" s="41" t="s">
        <v>140</v>
      </c>
      <c r="C136" s="42" t="s">
        <v>5</v>
      </c>
      <c r="D136" s="46">
        <v>1</v>
      </c>
      <c r="E136" s="46">
        <v>33.15</v>
      </c>
      <c r="F136" s="46">
        <f t="shared" ref="F136:F137" si="8">D136*E136</f>
        <v>33.15</v>
      </c>
      <c r="G136" s="46" t="s">
        <v>138</v>
      </c>
      <c r="H136" s="47" t="s">
        <v>141</v>
      </c>
    </row>
    <row r="137" spans="2:8" x14ac:dyDescent="0.25">
      <c r="B137" s="43" t="s">
        <v>146</v>
      </c>
      <c r="C137" s="44" t="s">
        <v>10</v>
      </c>
      <c r="D137" s="45">
        <f>8.1*0.4</f>
        <v>3.24</v>
      </c>
      <c r="E137" s="45">
        <v>271.81</v>
      </c>
      <c r="F137" s="46">
        <f t="shared" si="8"/>
        <v>880.66440000000011</v>
      </c>
      <c r="G137" s="46" t="s">
        <v>138</v>
      </c>
      <c r="H137" s="48" t="s">
        <v>147</v>
      </c>
    </row>
    <row r="138" spans="2:8" x14ac:dyDescent="0.25">
      <c r="B138" s="43" t="s">
        <v>148</v>
      </c>
      <c r="C138" s="44" t="s">
        <v>5</v>
      </c>
      <c r="D138" s="45">
        <v>1</v>
      </c>
      <c r="E138" s="45">
        <v>38.03</v>
      </c>
      <c r="F138" s="46">
        <f t="shared" ref="F138:F147" si="9">D138*E138</f>
        <v>38.03</v>
      </c>
      <c r="G138" s="46" t="s">
        <v>143</v>
      </c>
      <c r="H138" s="48" t="s">
        <v>149</v>
      </c>
    </row>
    <row r="139" spans="2:8" x14ac:dyDescent="0.25">
      <c r="B139" s="43" t="s">
        <v>150</v>
      </c>
      <c r="C139" s="44" t="s">
        <v>10</v>
      </c>
      <c r="D139" s="45">
        <v>8.9499999999999993</v>
      </c>
      <c r="E139" s="45">
        <v>45.59</v>
      </c>
      <c r="F139" s="46">
        <f t="shared" si="9"/>
        <v>408.03050000000002</v>
      </c>
      <c r="G139" s="46" t="s">
        <v>143</v>
      </c>
      <c r="H139" s="48" t="s">
        <v>151</v>
      </c>
    </row>
    <row r="140" spans="2:8" x14ac:dyDescent="0.25">
      <c r="B140" s="43" t="s">
        <v>131</v>
      </c>
      <c r="C140" s="44" t="s">
        <v>10</v>
      </c>
      <c r="D140" s="45">
        <v>17.850000000000001</v>
      </c>
      <c r="E140" s="45">
        <v>2.36</v>
      </c>
      <c r="F140" s="46">
        <f t="shared" si="9"/>
        <v>42.125999999999998</v>
      </c>
      <c r="G140" s="46" t="s">
        <v>143</v>
      </c>
      <c r="H140" s="48" t="s">
        <v>152</v>
      </c>
    </row>
    <row r="141" spans="2:8" x14ac:dyDescent="0.25">
      <c r="B141" s="43" t="s">
        <v>132</v>
      </c>
      <c r="C141" s="44" t="s">
        <v>10</v>
      </c>
      <c r="D141" s="45">
        <v>17.850000000000001</v>
      </c>
      <c r="E141" s="45">
        <v>12.18</v>
      </c>
      <c r="F141" s="46">
        <f t="shared" si="9"/>
        <v>217.41300000000001</v>
      </c>
      <c r="G141" s="46" t="s">
        <v>143</v>
      </c>
      <c r="H141" s="48" t="s">
        <v>153</v>
      </c>
    </row>
    <row r="142" spans="2:8" x14ac:dyDescent="0.25">
      <c r="B142" s="43" t="s">
        <v>137</v>
      </c>
      <c r="C142" s="44" t="s">
        <v>10</v>
      </c>
      <c r="D142" s="45">
        <v>17.850000000000001</v>
      </c>
      <c r="E142" s="45">
        <v>9.2100000000000009</v>
      </c>
      <c r="F142" s="46">
        <f t="shared" si="9"/>
        <v>164.39850000000004</v>
      </c>
      <c r="G142" s="46" t="s">
        <v>138</v>
      </c>
      <c r="H142" s="48">
        <v>8624</v>
      </c>
    </row>
    <row r="143" spans="2:8" x14ac:dyDescent="0.25">
      <c r="B143" s="43" t="s">
        <v>133</v>
      </c>
      <c r="C143" s="44" t="s">
        <v>10</v>
      </c>
      <c r="D143" s="45">
        <v>17.850000000000001</v>
      </c>
      <c r="E143" s="45">
        <v>1.51</v>
      </c>
      <c r="F143" s="46">
        <f t="shared" si="9"/>
        <v>26.953500000000002</v>
      </c>
      <c r="G143" s="46" t="s">
        <v>143</v>
      </c>
      <c r="H143" s="48" t="s">
        <v>154</v>
      </c>
    </row>
    <row r="144" spans="2:8" x14ac:dyDescent="0.25">
      <c r="B144" s="43" t="s">
        <v>54</v>
      </c>
      <c r="C144" s="44" t="s">
        <v>10</v>
      </c>
      <c r="D144" s="45">
        <v>17.850000000000001</v>
      </c>
      <c r="E144" s="45">
        <v>6.71</v>
      </c>
      <c r="F144" s="46">
        <f t="shared" si="9"/>
        <v>119.77350000000001</v>
      </c>
      <c r="G144" s="46" t="s">
        <v>143</v>
      </c>
      <c r="H144" s="48">
        <v>84651</v>
      </c>
    </row>
    <row r="145" spans="2:8" x14ac:dyDescent="0.25">
      <c r="B145" s="43" t="s">
        <v>134</v>
      </c>
      <c r="C145" s="44" t="s">
        <v>10</v>
      </c>
      <c r="D145" s="45">
        <v>4.9000000000000004</v>
      </c>
      <c r="E145" s="45">
        <v>271.81</v>
      </c>
      <c r="F145" s="46">
        <f t="shared" si="9"/>
        <v>1331.8690000000001</v>
      </c>
      <c r="G145" s="46" t="s">
        <v>138</v>
      </c>
      <c r="H145" s="48" t="s">
        <v>147</v>
      </c>
    </row>
    <row r="146" spans="2:8" x14ac:dyDescent="0.25">
      <c r="B146" s="43" t="s">
        <v>135</v>
      </c>
      <c r="C146" s="44" t="s">
        <v>10</v>
      </c>
      <c r="D146" s="45">
        <v>0.4</v>
      </c>
      <c r="E146" s="45">
        <v>271.81</v>
      </c>
      <c r="F146" s="46">
        <f t="shared" si="9"/>
        <v>108.724</v>
      </c>
      <c r="G146" s="46" t="s">
        <v>138</v>
      </c>
      <c r="H146" s="48" t="s">
        <v>147</v>
      </c>
    </row>
    <row r="147" spans="2:8" x14ac:dyDescent="0.25">
      <c r="B147" s="43" t="s">
        <v>155</v>
      </c>
      <c r="C147" s="44" t="s">
        <v>5</v>
      </c>
      <c r="D147" s="45">
        <v>1</v>
      </c>
      <c r="E147" s="45">
        <v>108.35</v>
      </c>
      <c r="F147" s="46">
        <f t="shared" si="9"/>
        <v>108.35</v>
      </c>
      <c r="G147" s="46" t="s">
        <v>143</v>
      </c>
      <c r="H147" s="48" t="s">
        <v>156</v>
      </c>
    </row>
    <row r="148" spans="2:8" x14ac:dyDescent="0.25">
      <c r="B148" s="43" t="s">
        <v>23</v>
      </c>
      <c r="C148" s="44"/>
      <c r="D148" s="45"/>
      <c r="E148" s="45"/>
      <c r="F148" s="45">
        <f>SUM(F135:F147)</f>
        <v>3555.7924000000007</v>
      </c>
      <c r="G148" s="46"/>
      <c r="H148" s="48"/>
    </row>
    <row r="151" spans="2:8" x14ac:dyDescent="0.25">
      <c r="B151" s="451" t="s">
        <v>172</v>
      </c>
      <c r="C151" s="452"/>
      <c r="D151" s="452"/>
      <c r="E151" s="452"/>
      <c r="F151" s="452"/>
      <c r="G151" s="452"/>
      <c r="H151" s="453"/>
    </row>
    <row r="152" spans="2:8" x14ac:dyDescent="0.25">
      <c r="B152" s="448" t="s">
        <v>168</v>
      </c>
      <c r="C152" s="449"/>
      <c r="D152" s="449"/>
      <c r="E152" s="449"/>
      <c r="F152" s="449"/>
      <c r="G152" s="449"/>
      <c r="H152" s="450"/>
    </row>
    <row r="153" spans="2:8" x14ac:dyDescent="0.25">
      <c r="B153" s="41" t="s">
        <v>124</v>
      </c>
      <c r="C153" s="42" t="s">
        <v>95</v>
      </c>
      <c r="D153" s="42" t="s">
        <v>125</v>
      </c>
      <c r="E153" s="42" t="s">
        <v>126</v>
      </c>
      <c r="F153" s="42" t="s">
        <v>127</v>
      </c>
      <c r="G153" s="42" t="s">
        <v>128</v>
      </c>
      <c r="H153" s="42" t="s">
        <v>129</v>
      </c>
    </row>
    <row r="154" spans="2:8" x14ac:dyDescent="0.25">
      <c r="B154" s="41" t="s">
        <v>136</v>
      </c>
      <c r="C154" s="42" t="s">
        <v>5</v>
      </c>
      <c r="D154" s="46">
        <v>1</v>
      </c>
      <c r="E154" s="46">
        <v>76.31</v>
      </c>
      <c r="F154" s="46">
        <f>D154*E154</f>
        <v>76.31</v>
      </c>
      <c r="G154" s="46" t="s">
        <v>138</v>
      </c>
      <c r="H154" s="47" t="s">
        <v>139</v>
      </c>
    </row>
    <row r="155" spans="2:8" x14ac:dyDescent="0.25">
      <c r="B155" s="41" t="s">
        <v>140</v>
      </c>
      <c r="C155" s="42" t="s">
        <v>5</v>
      </c>
      <c r="D155" s="46">
        <v>1</v>
      </c>
      <c r="E155" s="46">
        <v>33.15</v>
      </c>
      <c r="F155" s="46">
        <f t="shared" ref="F155:F156" si="10">D155*E155</f>
        <v>33.15</v>
      </c>
      <c r="G155" s="46" t="s">
        <v>138</v>
      </c>
      <c r="H155" s="47" t="s">
        <v>141</v>
      </c>
    </row>
    <row r="156" spans="2:8" x14ac:dyDescent="0.25">
      <c r="B156" s="43" t="s">
        <v>146</v>
      </c>
      <c r="C156" s="44" t="s">
        <v>10</v>
      </c>
      <c r="D156" s="45">
        <v>0.6</v>
      </c>
      <c r="E156" s="45">
        <v>271.81</v>
      </c>
      <c r="F156" s="46">
        <f t="shared" si="10"/>
        <v>163.08599999999998</v>
      </c>
      <c r="G156" s="46" t="s">
        <v>138</v>
      </c>
      <c r="H156" s="48" t="s">
        <v>147</v>
      </c>
    </row>
    <row r="157" spans="2:8" x14ac:dyDescent="0.25">
      <c r="B157" s="43" t="s">
        <v>148</v>
      </c>
      <c r="C157" s="44" t="s">
        <v>5</v>
      </c>
      <c r="D157" s="45">
        <v>1</v>
      </c>
      <c r="E157" s="45">
        <v>38.03</v>
      </c>
      <c r="F157" s="46">
        <f t="shared" ref="F157:F166" si="11">D157*E157</f>
        <v>38.03</v>
      </c>
      <c r="G157" s="46" t="s">
        <v>143</v>
      </c>
      <c r="H157" s="48" t="s">
        <v>149</v>
      </c>
    </row>
    <row r="158" spans="2:8" x14ac:dyDescent="0.25">
      <c r="B158" s="43" t="s">
        <v>150</v>
      </c>
      <c r="C158" s="44" t="s">
        <v>10</v>
      </c>
      <c r="D158" s="45">
        <v>5.8</v>
      </c>
      <c r="E158" s="45">
        <v>45.59</v>
      </c>
      <c r="F158" s="46">
        <f t="shared" si="11"/>
        <v>264.42200000000003</v>
      </c>
      <c r="G158" s="46" t="s">
        <v>143</v>
      </c>
      <c r="H158" s="48" t="s">
        <v>151</v>
      </c>
    </row>
    <row r="159" spans="2:8" x14ac:dyDescent="0.25">
      <c r="B159" s="43" t="s">
        <v>131</v>
      </c>
      <c r="C159" s="44" t="s">
        <v>10</v>
      </c>
      <c r="D159" s="45">
        <v>11.6</v>
      </c>
      <c r="E159" s="45">
        <v>2.36</v>
      </c>
      <c r="F159" s="46">
        <f t="shared" si="11"/>
        <v>27.375999999999998</v>
      </c>
      <c r="G159" s="46" t="s">
        <v>143</v>
      </c>
      <c r="H159" s="48" t="s">
        <v>152</v>
      </c>
    </row>
    <row r="160" spans="2:8" x14ac:dyDescent="0.25">
      <c r="B160" s="43" t="s">
        <v>132</v>
      </c>
      <c r="C160" s="44" t="s">
        <v>10</v>
      </c>
      <c r="D160" s="45">
        <v>11.6</v>
      </c>
      <c r="E160" s="45">
        <v>12.18</v>
      </c>
      <c r="F160" s="46">
        <f t="shared" si="11"/>
        <v>141.28799999999998</v>
      </c>
      <c r="G160" s="46" t="s">
        <v>143</v>
      </c>
      <c r="H160" s="48" t="s">
        <v>153</v>
      </c>
    </row>
    <row r="161" spans="2:8" x14ac:dyDescent="0.25">
      <c r="B161" s="43" t="s">
        <v>137</v>
      </c>
      <c r="C161" s="44" t="s">
        <v>10</v>
      </c>
      <c r="D161" s="45">
        <v>11.6</v>
      </c>
      <c r="E161" s="45">
        <v>9.2100000000000009</v>
      </c>
      <c r="F161" s="46">
        <f t="shared" si="11"/>
        <v>106.83600000000001</v>
      </c>
      <c r="G161" s="46" t="s">
        <v>138</v>
      </c>
      <c r="H161" s="48">
        <v>8624</v>
      </c>
    </row>
    <row r="162" spans="2:8" x14ac:dyDescent="0.25">
      <c r="B162" s="43" t="s">
        <v>133</v>
      </c>
      <c r="C162" s="44" t="s">
        <v>10</v>
      </c>
      <c r="D162" s="45">
        <v>11.6</v>
      </c>
      <c r="E162" s="45">
        <v>1.51</v>
      </c>
      <c r="F162" s="46">
        <f t="shared" si="11"/>
        <v>17.515999999999998</v>
      </c>
      <c r="G162" s="46" t="s">
        <v>143</v>
      </c>
      <c r="H162" s="48" t="s">
        <v>154</v>
      </c>
    </row>
    <row r="163" spans="2:8" x14ac:dyDescent="0.25">
      <c r="B163" s="43" t="s">
        <v>54</v>
      </c>
      <c r="C163" s="44" t="s">
        <v>10</v>
      </c>
      <c r="D163" s="45">
        <v>11.6</v>
      </c>
      <c r="E163" s="45">
        <v>6.71</v>
      </c>
      <c r="F163" s="46">
        <f t="shared" si="11"/>
        <v>77.835999999999999</v>
      </c>
      <c r="G163" s="46" t="s">
        <v>143</v>
      </c>
      <c r="H163" s="48">
        <v>84651</v>
      </c>
    </row>
    <row r="164" spans="2:8" x14ac:dyDescent="0.25">
      <c r="B164" s="43" t="s">
        <v>134</v>
      </c>
      <c r="C164" s="44" t="s">
        <v>10</v>
      </c>
      <c r="D164" s="45">
        <v>4.5999999999999996</v>
      </c>
      <c r="E164" s="45">
        <v>271.81</v>
      </c>
      <c r="F164" s="46">
        <f t="shared" si="11"/>
        <v>1250.326</v>
      </c>
      <c r="G164" s="46" t="s">
        <v>138</v>
      </c>
      <c r="H164" s="48" t="s">
        <v>147</v>
      </c>
    </row>
    <row r="165" spans="2:8" x14ac:dyDescent="0.25">
      <c r="B165" s="43" t="s">
        <v>135</v>
      </c>
      <c r="C165" s="44" t="s">
        <v>10</v>
      </c>
      <c r="D165" s="45">
        <v>0.2</v>
      </c>
      <c r="E165" s="45">
        <v>271.81</v>
      </c>
      <c r="F165" s="46">
        <f t="shared" si="11"/>
        <v>54.362000000000002</v>
      </c>
      <c r="G165" s="46" t="s">
        <v>138</v>
      </c>
      <c r="H165" s="48" t="s">
        <v>147</v>
      </c>
    </row>
    <row r="166" spans="2:8" x14ac:dyDescent="0.25">
      <c r="B166" s="43" t="s">
        <v>155</v>
      </c>
      <c r="C166" s="44" t="s">
        <v>5</v>
      </c>
      <c r="D166" s="45">
        <v>1</v>
      </c>
      <c r="E166" s="45">
        <v>108.35</v>
      </c>
      <c r="F166" s="46">
        <f t="shared" si="11"/>
        <v>108.35</v>
      </c>
      <c r="G166" s="46" t="s">
        <v>143</v>
      </c>
      <c r="H166" s="48" t="s">
        <v>156</v>
      </c>
    </row>
    <row r="167" spans="2:8" x14ac:dyDescent="0.25">
      <c r="B167" s="43" t="s">
        <v>23</v>
      </c>
      <c r="C167" s="44"/>
      <c r="D167" s="45"/>
      <c r="E167" s="45"/>
      <c r="F167" s="45">
        <f>SUM(F154:F166)</f>
        <v>2358.8879999999999</v>
      </c>
      <c r="G167" s="46"/>
      <c r="H167" s="48"/>
    </row>
    <row r="170" spans="2:8" x14ac:dyDescent="0.25">
      <c r="B170" s="451" t="s">
        <v>174</v>
      </c>
      <c r="C170" s="452"/>
      <c r="D170" s="452"/>
      <c r="E170" s="452"/>
      <c r="F170" s="452"/>
      <c r="G170" s="452"/>
      <c r="H170" s="453"/>
    </row>
    <row r="171" spans="2:8" x14ac:dyDescent="0.25">
      <c r="B171" s="448" t="s">
        <v>169</v>
      </c>
      <c r="C171" s="449"/>
      <c r="D171" s="449"/>
      <c r="E171" s="449"/>
      <c r="F171" s="449"/>
      <c r="G171" s="449"/>
      <c r="H171" s="450"/>
    </row>
    <row r="172" spans="2:8" x14ac:dyDescent="0.25">
      <c r="B172" s="41" t="s">
        <v>124</v>
      </c>
      <c r="C172" s="42" t="s">
        <v>95</v>
      </c>
      <c r="D172" s="42" t="s">
        <v>125</v>
      </c>
      <c r="E172" s="42" t="s">
        <v>126</v>
      </c>
      <c r="F172" s="42" t="s">
        <v>127</v>
      </c>
      <c r="G172" s="42" t="s">
        <v>128</v>
      </c>
      <c r="H172" s="42" t="s">
        <v>129</v>
      </c>
    </row>
    <row r="173" spans="2:8" x14ac:dyDescent="0.25">
      <c r="B173" s="41" t="s">
        <v>136</v>
      </c>
      <c r="C173" s="42" t="s">
        <v>5</v>
      </c>
      <c r="D173" s="46">
        <v>1</v>
      </c>
      <c r="E173" s="46">
        <v>76.31</v>
      </c>
      <c r="F173" s="46">
        <f>D173*E173</f>
        <v>76.31</v>
      </c>
      <c r="G173" s="46" t="s">
        <v>138</v>
      </c>
      <c r="H173" s="47" t="s">
        <v>139</v>
      </c>
    </row>
    <row r="174" spans="2:8" x14ac:dyDescent="0.25">
      <c r="B174" s="41" t="s">
        <v>140</v>
      </c>
      <c r="C174" s="42" t="s">
        <v>5</v>
      </c>
      <c r="D174" s="46">
        <v>1</v>
      </c>
      <c r="E174" s="46">
        <v>33.15</v>
      </c>
      <c r="F174" s="46">
        <f t="shared" ref="F174:F175" si="12">D174*E174</f>
        <v>33.15</v>
      </c>
      <c r="G174" s="46" t="s">
        <v>138</v>
      </c>
      <c r="H174" s="47" t="s">
        <v>141</v>
      </c>
    </row>
    <row r="175" spans="2:8" x14ac:dyDescent="0.25">
      <c r="B175" s="43" t="s">
        <v>146</v>
      </c>
      <c r="C175" s="44" t="s">
        <v>10</v>
      </c>
      <c r="D175" s="45">
        <v>0.6</v>
      </c>
      <c r="E175" s="45">
        <v>271.81</v>
      </c>
      <c r="F175" s="46">
        <f t="shared" si="12"/>
        <v>163.08599999999998</v>
      </c>
      <c r="G175" s="46" t="s">
        <v>138</v>
      </c>
      <c r="H175" s="48" t="s">
        <v>147</v>
      </c>
    </row>
    <row r="176" spans="2:8" x14ac:dyDescent="0.25">
      <c r="B176" s="43" t="s">
        <v>148</v>
      </c>
      <c r="C176" s="44" t="s">
        <v>5</v>
      </c>
      <c r="D176" s="45">
        <v>1</v>
      </c>
      <c r="E176" s="45">
        <v>38.03</v>
      </c>
      <c r="F176" s="46">
        <f t="shared" ref="F176:F185" si="13">D176*E176</f>
        <v>38.03</v>
      </c>
      <c r="G176" s="46" t="s">
        <v>143</v>
      </c>
      <c r="H176" s="48" t="s">
        <v>149</v>
      </c>
    </row>
    <row r="177" spans="2:8" x14ac:dyDescent="0.25">
      <c r="B177" s="43" t="s">
        <v>150</v>
      </c>
      <c r="C177" s="44" t="s">
        <v>10</v>
      </c>
      <c r="D177" s="45">
        <v>5.8</v>
      </c>
      <c r="E177" s="45">
        <v>45.59</v>
      </c>
      <c r="F177" s="46">
        <f t="shared" si="13"/>
        <v>264.42200000000003</v>
      </c>
      <c r="G177" s="46" t="s">
        <v>143</v>
      </c>
      <c r="H177" s="48" t="s">
        <v>151</v>
      </c>
    </row>
    <row r="178" spans="2:8" x14ac:dyDescent="0.25">
      <c r="B178" s="43" t="s">
        <v>131</v>
      </c>
      <c r="C178" s="44" t="s">
        <v>10</v>
      </c>
      <c r="D178" s="45">
        <v>11.6</v>
      </c>
      <c r="E178" s="45">
        <v>2.36</v>
      </c>
      <c r="F178" s="46">
        <f t="shared" si="13"/>
        <v>27.375999999999998</v>
      </c>
      <c r="G178" s="46" t="s">
        <v>143</v>
      </c>
      <c r="H178" s="48" t="s">
        <v>152</v>
      </c>
    </row>
    <row r="179" spans="2:8" x14ac:dyDescent="0.25">
      <c r="B179" s="43" t="s">
        <v>132</v>
      </c>
      <c r="C179" s="44" t="s">
        <v>10</v>
      </c>
      <c r="D179" s="45">
        <v>11.6</v>
      </c>
      <c r="E179" s="45">
        <v>12.18</v>
      </c>
      <c r="F179" s="46">
        <f t="shared" si="13"/>
        <v>141.28799999999998</v>
      </c>
      <c r="G179" s="46" t="s">
        <v>143</v>
      </c>
      <c r="H179" s="48" t="s">
        <v>153</v>
      </c>
    </row>
    <row r="180" spans="2:8" x14ac:dyDescent="0.25">
      <c r="B180" s="43" t="s">
        <v>137</v>
      </c>
      <c r="C180" s="44" t="s">
        <v>10</v>
      </c>
      <c r="D180" s="45">
        <v>11.6</v>
      </c>
      <c r="E180" s="45">
        <v>9.2100000000000009</v>
      </c>
      <c r="F180" s="46">
        <f t="shared" si="13"/>
        <v>106.83600000000001</v>
      </c>
      <c r="G180" s="46" t="s">
        <v>138</v>
      </c>
      <c r="H180" s="48">
        <v>8624</v>
      </c>
    </row>
    <row r="181" spans="2:8" x14ac:dyDescent="0.25">
      <c r="B181" s="43" t="s">
        <v>133</v>
      </c>
      <c r="C181" s="44" t="s">
        <v>10</v>
      </c>
      <c r="D181" s="45">
        <v>11.6</v>
      </c>
      <c r="E181" s="45">
        <v>1.51</v>
      </c>
      <c r="F181" s="46">
        <f t="shared" si="13"/>
        <v>17.515999999999998</v>
      </c>
      <c r="G181" s="46" t="s">
        <v>143</v>
      </c>
      <c r="H181" s="48" t="s">
        <v>154</v>
      </c>
    </row>
    <row r="182" spans="2:8" x14ac:dyDescent="0.25">
      <c r="B182" s="43" t="s">
        <v>54</v>
      </c>
      <c r="C182" s="44" t="s">
        <v>10</v>
      </c>
      <c r="D182" s="45">
        <v>11.6</v>
      </c>
      <c r="E182" s="45">
        <v>6.71</v>
      </c>
      <c r="F182" s="46">
        <f t="shared" si="13"/>
        <v>77.835999999999999</v>
      </c>
      <c r="G182" s="46" t="s">
        <v>143</v>
      </c>
      <c r="H182" s="48">
        <v>84651</v>
      </c>
    </row>
    <row r="183" spans="2:8" x14ac:dyDescent="0.25">
      <c r="B183" s="43" t="s">
        <v>134</v>
      </c>
      <c r="C183" s="44" t="s">
        <v>10</v>
      </c>
      <c r="D183" s="45">
        <v>4.5999999999999996</v>
      </c>
      <c r="E183" s="45">
        <v>271.81</v>
      </c>
      <c r="F183" s="46">
        <f t="shared" si="13"/>
        <v>1250.326</v>
      </c>
      <c r="G183" s="46" t="s">
        <v>138</v>
      </c>
      <c r="H183" s="48" t="s">
        <v>147</v>
      </c>
    </row>
    <row r="184" spans="2:8" x14ac:dyDescent="0.25">
      <c r="B184" s="43" t="s">
        <v>135</v>
      </c>
      <c r="C184" s="44" t="s">
        <v>10</v>
      </c>
      <c r="D184" s="45">
        <v>0.2</v>
      </c>
      <c r="E184" s="45">
        <v>271.81</v>
      </c>
      <c r="F184" s="46">
        <f t="shared" si="13"/>
        <v>54.362000000000002</v>
      </c>
      <c r="G184" s="46" t="s">
        <v>138</v>
      </c>
      <c r="H184" s="48" t="s">
        <v>147</v>
      </c>
    </row>
    <row r="185" spans="2:8" x14ac:dyDescent="0.25">
      <c r="B185" s="43" t="s">
        <v>155</v>
      </c>
      <c r="C185" s="44" t="s">
        <v>5</v>
      </c>
      <c r="D185" s="45">
        <v>1</v>
      </c>
      <c r="E185" s="45">
        <v>108.35</v>
      </c>
      <c r="F185" s="46">
        <f t="shared" si="13"/>
        <v>108.35</v>
      </c>
      <c r="G185" s="46" t="s">
        <v>143</v>
      </c>
      <c r="H185" s="48" t="s">
        <v>156</v>
      </c>
    </row>
    <row r="186" spans="2:8" x14ac:dyDescent="0.25">
      <c r="B186" s="43" t="s">
        <v>23</v>
      </c>
      <c r="C186" s="44"/>
      <c r="D186" s="45"/>
      <c r="E186" s="45"/>
      <c r="F186" s="45">
        <f>SUM(F173:F185)</f>
        <v>2358.8879999999999</v>
      </c>
      <c r="G186" s="46"/>
      <c r="H186" s="48"/>
    </row>
    <row r="189" spans="2:8" x14ac:dyDescent="0.25">
      <c r="B189" s="451" t="s">
        <v>176</v>
      </c>
      <c r="C189" s="452"/>
      <c r="D189" s="452"/>
      <c r="E189" s="452"/>
      <c r="F189" s="452"/>
      <c r="G189" s="452"/>
      <c r="H189" s="453"/>
    </row>
    <row r="190" spans="2:8" x14ac:dyDescent="0.25">
      <c r="B190" s="448" t="s">
        <v>171</v>
      </c>
      <c r="C190" s="449"/>
      <c r="D190" s="449"/>
      <c r="E190" s="449"/>
      <c r="F190" s="449"/>
      <c r="G190" s="449"/>
      <c r="H190" s="450"/>
    </row>
    <row r="191" spans="2:8" x14ac:dyDescent="0.25">
      <c r="B191" s="41" t="s">
        <v>124</v>
      </c>
      <c r="C191" s="42" t="s">
        <v>95</v>
      </c>
      <c r="D191" s="42" t="s">
        <v>125</v>
      </c>
      <c r="E191" s="42" t="s">
        <v>126</v>
      </c>
      <c r="F191" s="42" t="s">
        <v>127</v>
      </c>
      <c r="G191" s="42" t="s">
        <v>128</v>
      </c>
      <c r="H191" s="42" t="s">
        <v>129</v>
      </c>
    </row>
    <row r="192" spans="2:8" x14ac:dyDescent="0.25">
      <c r="B192" s="43" t="s">
        <v>150</v>
      </c>
      <c r="C192" s="44" t="s">
        <v>10</v>
      </c>
      <c r="D192" s="45">
        <v>4.8</v>
      </c>
      <c r="E192" s="45">
        <v>45.59</v>
      </c>
      <c r="F192" s="46">
        <f t="shared" ref="F192:F199" si="14">D192*E192</f>
        <v>218.83200000000002</v>
      </c>
      <c r="G192" s="46" t="s">
        <v>143</v>
      </c>
      <c r="H192" s="48" t="s">
        <v>151</v>
      </c>
    </row>
    <row r="193" spans="2:8" x14ac:dyDescent="0.25">
      <c r="B193" s="43" t="s">
        <v>131</v>
      </c>
      <c r="C193" s="44" t="s">
        <v>10</v>
      </c>
      <c r="D193" s="45">
        <v>9.6</v>
      </c>
      <c r="E193" s="45">
        <v>2.36</v>
      </c>
      <c r="F193" s="46">
        <f t="shared" si="14"/>
        <v>22.655999999999999</v>
      </c>
      <c r="G193" s="46" t="s">
        <v>143</v>
      </c>
      <c r="H193" s="48" t="s">
        <v>152</v>
      </c>
    </row>
    <row r="194" spans="2:8" x14ac:dyDescent="0.25">
      <c r="B194" s="43" t="s">
        <v>132</v>
      </c>
      <c r="C194" s="44" t="s">
        <v>10</v>
      </c>
      <c r="D194" s="45">
        <v>9.6</v>
      </c>
      <c r="E194" s="45">
        <v>12.18</v>
      </c>
      <c r="F194" s="46">
        <f t="shared" si="14"/>
        <v>116.928</v>
      </c>
      <c r="G194" s="46" t="s">
        <v>143</v>
      </c>
      <c r="H194" s="48" t="s">
        <v>153</v>
      </c>
    </row>
    <row r="195" spans="2:8" x14ac:dyDescent="0.25">
      <c r="B195" s="43" t="s">
        <v>137</v>
      </c>
      <c r="C195" s="44" t="s">
        <v>10</v>
      </c>
      <c r="D195" s="45">
        <v>9.6</v>
      </c>
      <c r="E195" s="45">
        <v>9.2100000000000009</v>
      </c>
      <c r="F195" s="46">
        <f t="shared" si="14"/>
        <v>88.416000000000011</v>
      </c>
      <c r="G195" s="46" t="s">
        <v>138</v>
      </c>
      <c r="H195" s="48">
        <v>8624</v>
      </c>
    </row>
    <row r="196" spans="2:8" x14ac:dyDescent="0.25">
      <c r="B196" s="43" t="s">
        <v>133</v>
      </c>
      <c r="C196" s="44" t="s">
        <v>10</v>
      </c>
      <c r="D196" s="45">
        <v>9.6</v>
      </c>
      <c r="E196" s="45">
        <v>1.51</v>
      </c>
      <c r="F196" s="46">
        <f t="shared" si="14"/>
        <v>14.495999999999999</v>
      </c>
      <c r="G196" s="46" t="s">
        <v>143</v>
      </c>
      <c r="H196" s="48" t="s">
        <v>154</v>
      </c>
    </row>
    <row r="197" spans="2:8" x14ac:dyDescent="0.25">
      <c r="B197" s="43" t="s">
        <v>54</v>
      </c>
      <c r="C197" s="44" t="s">
        <v>10</v>
      </c>
      <c r="D197" s="45">
        <v>9.6</v>
      </c>
      <c r="E197" s="45">
        <v>6.71</v>
      </c>
      <c r="F197" s="46">
        <f t="shared" si="14"/>
        <v>64.415999999999997</v>
      </c>
      <c r="G197" s="46" t="s">
        <v>143</v>
      </c>
      <c r="H197" s="48">
        <v>84651</v>
      </c>
    </row>
    <row r="198" spans="2:8" x14ac:dyDescent="0.25">
      <c r="B198" s="43" t="s">
        <v>134</v>
      </c>
      <c r="C198" s="44" t="s">
        <v>10</v>
      </c>
      <c r="D198" s="45">
        <v>2.4300000000000002</v>
      </c>
      <c r="E198" s="45">
        <v>271.81</v>
      </c>
      <c r="F198" s="46">
        <f t="shared" si="14"/>
        <v>660.49830000000009</v>
      </c>
      <c r="G198" s="46" t="s">
        <v>138</v>
      </c>
      <c r="H198" s="48" t="s">
        <v>147</v>
      </c>
    </row>
    <row r="199" spans="2:8" x14ac:dyDescent="0.25">
      <c r="B199" s="43" t="s">
        <v>135</v>
      </c>
      <c r="C199" s="44" t="s">
        <v>10</v>
      </c>
      <c r="D199" s="45">
        <v>0.2</v>
      </c>
      <c r="E199" s="45">
        <v>271.81</v>
      </c>
      <c r="F199" s="46">
        <f t="shared" si="14"/>
        <v>54.362000000000002</v>
      </c>
      <c r="G199" s="46" t="s">
        <v>138</v>
      </c>
      <c r="H199" s="48" t="s">
        <v>147</v>
      </c>
    </row>
    <row r="200" spans="2:8" x14ac:dyDescent="0.25">
      <c r="B200" s="43" t="s">
        <v>23</v>
      </c>
      <c r="C200" s="44"/>
      <c r="D200" s="45"/>
      <c r="E200" s="45"/>
      <c r="F200" s="45">
        <f>SUM(F192:F199)</f>
        <v>1240.6043000000002</v>
      </c>
      <c r="G200" s="46"/>
      <c r="H200" s="48"/>
    </row>
    <row r="203" spans="2:8" x14ac:dyDescent="0.25">
      <c r="B203" s="451" t="s">
        <v>178</v>
      </c>
      <c r="C203" s="452"/>
      <c r="D203" s="452"/>
      <c r="E203" s="452"/>
      <c r="F203" s="452"/>
      <c r="G203" s="452"/>
      <c r="H203" s="453"/>
    </row>
    <row r="204" spans="2:8" x14ac:dyDescent="0.25">
      <c r="B204" s="448" t="s">
        <v>173</v>
      </c>
      <c r="C204" s="449"/>
      <c r="D204" s="449"/>
      <c r="E204" s="449"/>
      <c r="F204" s="449"/>
      <c r="G204" s="449"/>
      <c r="H204" s="450"/>
    </row>
    <row r="205" spans="2:8" x14ac:dyDescent="0.25">
      <c r="B205" s="41" t="s">
        <v>124</v>
      </c>
      <c r="C205" s="42" t="s">
        <v>95</v>
      </c>
      <c r="D205" s="42" t="s">
        <v>125</v>
      </c>
      <c r="E205" s="42" t="s">
        <v>126</v>
      </c>
      <c r="F205" s="42" t="s">
        <v>127</v>
      </c>
      <c r="G205" s="42" t="s">
        <v>128</v>
      </c>
      <c r="H205" s="42" t="s">
        <v>129</v>
      </c>
    </row>
    <row r="206" spans="2:8" x14ac:dyDescent="0.25">
      <c r="B206" s="41" t="s">
        <v>136</v>
      </c>
      <c r="C206" s="42" t="s">
        <v>5</v>
      </c>
      <c r="D206" s="46">
        <v>2</v>
      </c>
      <c r="E206" s="46">
        <v>76.31</v>
      </c>
      <c r="F206" s="46">
        <f>D206*E206</f>
        <v>152.62</v>
      </c>
      <c r="G206" s="46" t="s">
        <v>138</v>
      </c>
      <c r="H206" s="47" t="s">
        <v>139</v>
      </c>
    </row>
    <row r="207" spans="2:8" x14ac:dyDescent="0.25">
      <c r="B207" s="41" t="s">
        <v>140</v>
      </c>
      <c r="C207" s="42" t="s">
        <v>5</v>
      </c>
      <c r="D207" s="46">
        <v>2</v>
      </c>
      <c r="E207" s="46">
        <v>33.15</v>
      </c>
      <c r="F207" s="46">
        <f t="shared" ref="F207:F208" si="15">D207*E207</f>
        <v>66.3</v>
      </c>
      <c r="G207" s="46" t="s">
        <v>138</v>
      </c>
      <c r="H207" s="47" t="s">
        <v>141</v>
      </c>
    </row>
    <row r="208" spans="2:8" x14ac:dyDescent="0.25">
      <c r="B208" s="43" t="s">
        <v>146</v>
      </c>
      <c r="C208" s="44" t="s">
        <v>10</v>
      </c>
      <c r="D208" s="45">
        <v>1.42</v>
      </c>
      <c r="E208" s="45">
        <v>271.81</v>
      </c>
      <c r="F208" s="46">
        <f t="shared" si="15"/>
        <v>385.97019999999998</v>
      </c>
      <c r="G208" s="46" t="s">
        <v>138</v>
      </c>
      <c r="H208" s="48" t="s">
        <v>147</v>
      </c>
    </row>
    <row r="209" spans="2:8" x14ac:dyDescent="0.25">
      <c r="B209" s="43" t="s">
        <v>148</v>
      </c>
      <c r="C209" s="44" t="s">
        <v>5</v>
      </c>
      <c r="D209" s="45">
        <v>2</v>
      </c>
      <c r="E209" s="45">
        <v>38.03</v>
      </c>
      <c r="F209" s="46">
        <f t="shared" ref="F209:F218" si="16">D209*E209</f>
        <v>76.06</v>
      </c>
      <c r="G209" s="46" t="s">
        <v>143</v>
      </c>
      <c r="H209" s="48" t="s">
        <v>149</v>
      </c>
    </row>
    <row r="210" spans="2:8" x14ac:dyDescent="0.25">
      <c r="B210" s="43" t="s">
        <v>150</v>
      </c>
      <c r="C210" s="44" t="s">
        <v>10</v>
      </c>
      <c r="D210" s="45">
        <v>4.3</v>
      </c>
      <c r="E210" s="45">
        <v>45.59</v>
      </c>
      <c r="F210" s="46">
        <f t="shared" si="16"/>
        <v>196.03700000000001</v>
      </c>
      <c r="G210" s="46" t="s">
        <v>143</v>
      </c>
      <c r="H210" s="48" t="s">
        <v>151</v>
      </c>
    </row>
    <row r="211" spans="2:8" x14ac:dyDescent="0.25">
      <c r="B211" s="43" t="s">
        <v>131</v>
      </c>
      <c r="C211" s="44" t="s">
        <v>10</v>
      </c>
      <c r="D211" s="45">
        <v>8.5500000000000007</v>
      </c>
      <c r="E211" s="45">
        <v>2.36</v>
      </c>
      <c r="F211" s="46">
        <f t="shared" si="16"/>
        <v>20.178000000000001</v>
      </c>
      <c r="G211" s="46" t="s">
        <v>143</v>
      </c>
      <c r="H211" s="48" t="s">
        <v>152</v>
      </c>
    </row>
    <row r="212" spans="2:8" x14ac:dyDescent="0.25">
      <c r="B212" s="43" t="s">
        <v>132</v>
      </c>
      <c r="C212" s="44" t="s">
        <v>10</v>
      </c>
      <c r="D212" s="45">
        <v>8.5500000000000007</v>
      </c>
      <c r="E212" s="45">
        <v>12.18</v>
      </c>
      <c r="F212" s="46">
        <f t="shared" si="16"/>
        <v>104.13900000000001</v>
      </c>
      <c r="G212" s="46" t="s">
        <v>143</v>
      </c>
      <c r="H212" s="48" t="s">
        <v>153</v>
      </c>
    </row>
    <row r="213" spans="2:8" x14ac:dyDescent="0.25">
      <c r="B213" s="43" t="s">
        <v>137</v>
      </c>
      <c r="C213" s="44" t="s">
        <v>10</v>
      </c>
      <c r="D213" s="45">
        <v>8.5500000000000007</v>
      </c>
      <c r="E213" s="45">
        <v>9.2100000000000009</v>
      </c>
      <c r="F213" s="46">
        <f t="shared" si="16"/>
        <v>78.745500000000007</v>
      </c>
      <c r="G213" s="46" t="s">
        <v>138</v>
      </c>
      <c r="H213" s="48">
        <v>8624</v>
      </c>
    </row>
    <row r="214" spans="2:8" x14ac:dyDescent="0.25">
      <c r="B214" s="43" t="s">
        <v>133</v>
      </c>
      <c r="C214" s="44" t="s">
        <v>10</v>
      </c>
      <c r="D214" s="45">
        <v>8.5500000000000007</v>
      </c>
      <c r="E214" s="45">
        <v>1.51</v>
      </c>
      <c r="F214" s="46">
        <f t="shared" si="16"/>
        <v>12.910500000000001</v>
      </c>
      <c r="G214" s="46" t="s">
        <v>143</v>
      </c>
      <c r="H214" s="48" t="s">
        <v>154</v>
      </c>
    </row>
    <row r="215" spans="2:8" x14ac:dyDescent="0.25">
      <c r="B215" s="43" t="s">
        <v>54</v>
      </c>
      <c r="C215" s="44" t="s">
        <v>10</v>
      </c>
      <c r="D215" s="45">
        <v>8.5500000000000007</v>
      </c>
      <c r="E215" s="45">
        <v>6.71</v>
      </c>
      <c r="F215" s="46">
        <f t="shared" si="16"/>
        <v>57.370500000000007</v>
      </c>
      <c r="G215" s="46" t="s">
        <v>143</v>
      </c>
      <c r="H215" s="48">
        <v>84651</v>
      </c>
    </row>
    <row r="216" spans="2:8" x14ac:dyDescent="0.25">
      <c r="B216" s="43" t="s">
        <v>134</v>
      </c>
      <c r="C216" s="44" t="s">
        <v>10</v>
      </c>
      <c r="D216" s="45">
        <v>2.2000000000000002</v>
      </c>
      <c r="E216" s="45">
        <v>271.81</v>
      </c>
      <c r="F216" s="46">
        <f t="shared" si="16"/>
        <v>597.98200000000008</v>
      </c>
      <c r="G216" s="46" t="s">
        <v>138</v>
      </c>
      <c r="H216" s="48" t="s">
        <v>147</v>
      </c>
    </row>
    <row r="217" spans="2:8" x14ac:dyDescent="0.25">
      <c r="B217" s="43" t="s">
        <v>135</v>
      </c>
      <c r="C217" s="44" t="s">
        <v>10</v>
      </c>
      <c r="D217" s="45">
        <v>0.2</v>
      </c>
      <c r="E217" s="45">
        <v>271.81</v>
      </c>
      <c r="F217" s="46">
        <f t="shared" si="16"/>
        <v>54.362000000000002</v>
      </c>
      <c r="G217" s="46" t="s">
        <v>138</v>
      </c>
      <c r="H217" s="48" t="s">
        <v>147</v>
      </c>
    </row>
    <row r="218" spans="2:8" x14ac:dyDescent="0.25">
      <c r="B218" s="43" t="s">
        <v>155</v>
      </c>
      <c r="C218" s="44" t="s">
        <v>5</v>
      </c>
      <c r="D218" s="45">
        <v>2</v>
      </c>
      <c r="E218" s="45">
        <v>108.35</v>
      </c>
      <c r="F218" s="46">
        <f t="shared" si="16"/>
        <v>216.7</v>
      </c>
      <c r="G218" s="46" t="s">
        <v>143</v>
      </c>
      <c r="H218" s="48" t="s">
        <v>156</v>
      </c>
    </row>
    <row r="219" spans="2:8" x14ac:dyDescent="0.25">
      <c r="B219" s="43" t="s">
        <v>23</v>
      </c>
      <c r="C219" s="44"/>
      <c r="D219" s="45"/>
      <c r="E219" s="45"/>
      <c r="F219" s="45">
        <f>SUM(F206:F218)</f>
        <v>2019.3747000000001</v>
      </c>
      <c r="G219" s="46"/>
      <c r="H219" s="48"/>
    </row>
    <row r="222" spans="2:8" x14ac:dyDescent="0.25">
      <c r="B222" s="451" t="s">
        <v>180</v>
      </c>
      <c r="C222" s="452"/>
      <c r="D222" s="452"/>
      <c r="E222" s="452"/>
      <c r="F222" s="452"/>
      <c r="G222" s="452"/>
      <c r="H222" s="453"/>
    </row>
    <row r="223" spans="2:8" x14ac:dyDescent="0.25">
      <c r="B223" s="448" t="s">
        <v>175</v>
      </c>
      <c r="C223" s="449"/>
      <c r="D223" s="449"/>
      <c r="E223" s="449"/>
      <c r="F223" s="449"/>
      <c r="G223" s="449"/>
      <c r="H223" s="450"/>
    </row>
    <row r="224" spans="2:8" x14ac:dyDescent="0.25">
      <c r="B224" s="41" t="s">
        <v>124</v>
      </c>
      <c r="C224" s="42" t="s">
        <v>95</v>
      </c>
      <c r="D224" s="42" t="s">
        <v>125</v>
      </c>
      <c r="E224" s="42" t="s">
        <v>126</v>
      </c>
      <c r="F224" s="42" t="s">
        <v>127</v>
      </c>
      <c r="G224" s="42" t="s">
        <v>128</v>
      </c>
      <c r="H224" s="42" t="s">
        <v>129</v>
      </c>
    </row>
    <row r="225" spans="2:8" x14ac:dyDescent="0.25">
      <c r="B225" s="41" t="s">
        <v>136</v>
      </c>
      <c r="C225" s="42" t="s">
        <v>5</v>
      </c>
      <c r="D225" s="46">
        <v>2</v>
      </c>
      <c r="E225" s="46">
        <v>76.31</v>
      </c>
      <c r="F225" s="46">
        <f>D225*E225</f>
        <v>152.62</v>
      </c>
      <c r="G225" s="46" t="s">
        <v>138</v>
      </c>
      <c r="H225" s="47" t="s">
        <v>139</v>
      </c>
    </row>
    <row r="226" spans="2:8" x14ac:dyDescent="0.25">
      <c r="B226" s="41" t="s">
        <v>140</v>
      </c>
      <c r="C226" s="42" t="s">
        <v>5</v>
      </c>
      <c r="D226" s="46">
        <v>2</v>
      </c>
      <c r="E226" s="46">
        <v>33.15</v>
      </c>
      <c r="F226" s="46">
        <f t="shared" ref="F226:F227" si="17">D226*E226</f>
        <v>66.3</v>
      </c>
      <c r="G226" s="46" t="s">
        <v>138</v>
      </c>
      <c r="H226" s="47" t="s">
        <v>141</v>
      </c>
    </row>
    <row r="227" spans="2:8" x14ac:dyDescent="0.25">
      <c r="B227" s="43" t="s">
        <v>146</v>
      </c>
      <c r="C227" s="44" t="s">
        <v>10</v>
      </c>
      <c r="D227" s="45">
        <f>1*0.6</f>
        <v>0.6</v>
      </c>
      <c r="E227" s="45">
        <v>271.81</v>
      </c>
      <c r="F227" s="46">
        <f t="shared" si="17"/>
        <v>163.08599999999998</v>
      </c>
      <c r="G227" s="46" t="s">
        <v>138</v>
      </c>
      <c r="H227" s="48" t="s">
        <v>147</v>
      </c>
    </row>
    <row r="228" spans="2:8" x14ac:dyDescent="0.25">
      <c r="B228" s="43" t="s">
        <v>148</v>
      </c>
      <c r="C228" s="44" t="s">
        <v>5</v>
      </c>
      <c r="D228" s="45">
        <v>2</v>
      </c>
      <c r="E228" s="45">
        <v>38.03</v>
      </c>
      <c r="F228" s="46">
        <f t="shared" ref="F228:F237" si="18">D228*E228</f>
        <v>76.06</v>
      </c>
      <c r="G228" s="46" t="s">
        <v>143</v>
      </c>
      <c r="H228" s="48" t="s">
        <v>149</v>
      </c>
    </row>
    <row r="229" spans="2:8" x14ac:dyDescent="0.25">
      <c r="B229" s="43" t="s">
        <v>150</v>
      </c>
      <c r="C229" s="44" t="s">
        <v>10</v>
      </c>
      <c r="D229" s="45">
        <v>4.3</v>
      </c>
      <c r="E229" s="45">
        <v>45.59</v>
      </c>
      <c r="F229" s="46">
        <f t="shared" si="18"/>
        <v>196.03700000000001</v>
      </c>
      <c r="G229" s="46" t="s">
        <v>143</v>
      </c>
      <c r="H229" s="48" t="s">
        <v>151</v>
      </c>
    </row>
    <row r="230" spans="2:8" x14ac:dyDescent="0.25">
      <c r="B230" s="43" t="s">
        <v>131</v>
      </c>
      <c r="C230" s="44" t="s">
        <v>10</v>
      </c>
      <c r="D230" s="45">
        <v>8.6</v>
      </c>
      <c r="E230" s="45">
        <v>2.36</v>
      </c>
      <c r="F230" s="46">
        <f t="shared" si="18"/>
        <v>20.295999999999999</v>
      </c>
      <c r="G230" s="46" t="s">
        <v>143</v>
      </c>
      <c r="H230" s="48" t="s">
        <v>152</v>
      </c>
    </row>
    <row r="231" spans="2:8" x14ac:dyDescent="0.25">
      <c r="B231" s="43" t="s">
        <v>132</v>
      </c>
      <c r="C231" s="44" t="s">
        <v>10</v>
      </c>
      <c r="D231" s="45">
        <v>8.6</v>
      </c>
      <c r="E231" s="45">
        <v>12.18</v>
      </c>
      <c r="F231" s="46">
        <f t="shared" si="18"/>
        <v>104.74799999999999</v>
      </c>
      <c r="G231" s="46" t="s">
        <v>143</v>
      </c>
      <c r="H231" s="48" t="s">
        <v>153</v>
      </c>
    </row>
    <row r="232" spans="2:8" x14ac:dyDescent="0.25">
      <c r="B232" s="43" t="s">
        <v>137</v>
      </c>
      <c r="C232" s="44" t="s">
        <v>10</v>
      </c>
      <c r="D232" s="45">
        <v>8.6</v>
      </c>
      <c r="E232" s="45">
        <v>9.2100000000000009</v>
      </c>
      <c r="F232" s="46">
        <f t="shared" si="18"/>
        <v>79.206000000000003</v>
      </c>
      <c r="G232" s="46" t="s">
        <v>138</v>
      </c>
      <c r="H232" s="48">
        <v>8624</v>
      </c>
    </row>
    <row r="233" spans="2:8" x14ac:dyDescent="0.25">
      <c r="B233" s="43" t="s">
        <v>133</v>
      </c>
      <c r="C233" s="44" t="s">
        <v>10</v>
      </c>
      <c r="D233" s="45">
        <v>8.6</v>
      </c>
      <c r="E233" s="45">
        <v>1.51</v>
      </c>
      <c r="F233" s="46">
        <f t="shared" si="18"/>
        <v>12.985999999999999</v>
      </c>
      <c r="G233" s="46" t="s">
        <v>143</v>
      </c>
      <c r="H233" s="48" t="s">
        <v>154</v>
      </c>
    </row>
    <row r="234" spans="2:8" x14ac:dyDescent="0.25">
      <c r="B234" s="43" t="s">
        <v>54</v>
      </c>
      <c r="C234" s="44" t="s">
        <v>10</v>
      </c>
      <c r="D234" s="45">
        <v>8.6</v>
      </c>
      <c r="E234" s="45">
        <v>6.71</v>
      </c>
      <c r="F234" s="46">
        <f t="shared" si="18"/>
        <v>57.705999999999996</v>
      </c>
      <c r="G234" s="46" t="s">
        <v>143</v>
      </c>
      <c r="H234" s="48">
        <v>84651</v>
      </c>
    </row>
    <row r="235" spans="2:8" x14ac:dyDescent="0.25">
      <c r="B235" s="43" t="s">
        <v>134</v>
      </c>
      <c r="C235" s="44" t="s">
        <v>10</v>
      </c>
      <c r="D235" s="45">
        <v>2.2000000000000002</v>
      </c>
      <c r="E235" s="45">
        <v>271.81</v>
      </c>
      <c r="F235" s="46">
        <f t="shared" si="18"/>
        <v>597.98200000000008</v>
      </c>
      <c r="G235" s="46" t="s">
        <v>138</v>
      </c>
      <c r="H235" s="48" t="s">
        <v>147</v>
      </c>
    </row>
    <row r="236" spans="2:8" x14ac:dyDescent="0.25">
      <c r="B236" s="43" t="s">
        <v>135</v>
      </c>
      <c r="C236" s="44" t="s">
        <v>10</v>
      </c>
      <c r="D236" s="45">
        <v>0.2</v>
      </c>
      <c r="E236" s="45">
        <v>271.81</v>
      </c>
      <c r="F236" s="46">
        <f t="shared" si="18"/>
        <v>54.362000000000002</v>
      </c>
      <c r="G236" s="46" t="s">
        <v>138</v>
      </c>
      <c r="H236" s="48" t="s">
        <v>147</v>
      </c>
    </row>
    <row r="237" spans="2:8" x14ac:dyDescent="0.25">
      <c r="B237" s="43" t="s">
        <v>155</v>
      </c>
      <c r="C237" s="44" t="s">
        <v>5</v>
      </c>
      <c r="D237" s="45">
        <v>2</v>
      </c>
      <c r="E237" s="45">
        <v>108.35</v>
      </c>
      <c r="F237" s="46">
        <f t="shared" si="18"/>
        <v>216.7</v>
      </c>
      <c r="G237" s="46" t="s">
        <v>143</v>
      </c>
      <c r="H237" s="48" t="s">
        <v>156</v>
      </c>
    </row>
    <row r="238" spans="2:8" x14ac:dyDescent="0.25">
      <c r="B238" s="43" t="s">
        <v>23</v>
      </c>
      <c r="C238" s="44"/>
      <c r="D238" s="45"/>
      <c r="E238" s="45"/>
      <c r="F238" s="45">
        <f>SUM(F225:F237)</f>
        <v>1798.0890000000002</v>
      </c>
      <c r="G238" s="46"/>
      <c r="H238" s="48"/>
    </row>
    <row r="241" spans="2:8" x14ac:dyDescent="0.25">
      <c r="B241" s="451" t="s">
        <v>182</v>
      </c>
      <c r="C241" s="452"/>
      <c r="D241" s="452"/>
      <c r="E241" s="452"/>
      <c r="F241" s="452"/>
      <c r="G241" s="452"/>
      <c r="H241" s="453"/>
    </row>
    <row r="242" spans="2:8" x14ac:dyDescent="0.25">
      <c r="B242" s="448" t="s">
        <v>177</v>
      </c>
      <c r="C242" s="449"/>
      <c r="D242" s="449"/>
      <c r="E242" s="449"/>
      <c r="F242" s="449"/>
      <c r="G242" s="449"/>
      <c r="H242" s="450"/>
    </row>
    <row r="243" spans="2:8" x14ac:dyDescent="0.25">
      <c r="B243" s="41" t="s">
        <v>124</v>
      </c>
      <c r="C243" s="42" t="s">
        <v>95</v>
      </c>
      <c r="D243" s="42" t="s">
        <v>125</v>
      </c>
      <c r="E243" s="42" t="s">
        <v>126</v>
      </c>
      <c r="F243" s="42" t="s">
        <v>127</v>
      </c>
      <c r="G243" s="42" t="s">
        <v>128</v>
      </c>
      <c r="H243" s="42" t="s">
        <v>129</v>
      </c>
    </row>
    <row r="244" spans="2:8" x14ac:dyDescent="0.25">
      <c r="B244" s="41" t="s">
        <v>136</v>
      </c>
      <c r="C244" s="42" t="s">
        <v>5</v>
      </c>
      <c r="D244" s="46">
        <v>1</v>
      </c>
      <c r="E244" s="46">
        <v>76.31</v>
      </c>
      <c r="F244" s="46">
        <f>D244*E244</f>
        <v>76.31</v>
      </c>
      <c r="G244" s="46" t="s">
        <v>138</v>
      </c>
      <c r="H244" s="47" t="s">
        <v>139</v>
      </c>
    </row>
    <row r="245" spans="2:8" x14ac:dyDescent="0.25">
      <c r="B245" s="41" t="s">
        <v>140</v>
      </c>
      <c r="C245" s="42" t="s">
        <v>5</v>
      </c>
      <c r="D245" s="46">
        <v>1</v>
      </c>
      <c r="E245" s="46">
        <v>33.15</v>
      </c>
      <c r="F245" s="46">
        <f t="shared" ref="F245:F246" si="19">D245*E245</f>
        <v>33.15</v>
      </c>
      <c r="G245" s="46" t="s">
        <v>138</v>
      </c>
      <c r="H245" s="47" t="s">
        <v>141</v>
      </c>
    </row>
    <row r="246" spans="2:8" x14ac:dyDescent="0.25">
      <c r="B246" s="43" t="s">
        <v>146</v>
      </c>
      <c r="C246" s="44" t="s">
        <v>10</v>
      </c>
      <c r="D246" s="45">
        <v>0.72</v>
      </c>
      <c r="E246" s="45">
        <v>271.81</v>
      </c>
      <c r="F246" s="46">
        <f t="shared" si="19"/>
        <v>195.70319999999998</v>
      </c>
      <c r="G246" s="46" t="s">
        <v>138</v>
      </c>
      <c r="H246" s="48" t="s">
        <v>147</v>
      </c>
    </row>
    <row r="247" spans="2:8" x14ac:dyDescent="0.25">
      <c r="B247" s="43" t="s">
        <v>148</v>
      </c>
      <c r="C247" s="44" t="s">
        <v>5</v>
      </c>
      <c r="D247" s="45">
        <v>1</v>
      </c>
      <c r="E247" s="45">
        <v>38.03</v>
      </c>
      <c r="F247" s="46">
        <f t="shared" ref="F247:F256" si="20">D247*E247</f>
        <v>38.03</v>
      </c>
      <c r="G247" s="46" t="s">
        <v>143</v>
      </c>
      <c r="H247" s="48" t="s">
        <v>149</v>
      </c>
    </row>
    <row r="248" spans="2:8" x14ac:dyDescent="0.25">
      <c r="B248" s="43" t="s">
        <v>150</v>
      </c>
      <c r="C248" s="44" t="s">
        <v>10</v>
      </c>
      <c r="D248" s="45">
        <v>6.1</v>
      </c>
      <c r="E248" s="45">
        <v>45.59</v>
      </c>
      <c r="F248" s="46">
        <f t="shared" si="20"/>
        <v>278.09899999999999</v>
      </c>
      <c r="G248" s="46" t="s">
        <v>143</v>
      </c>
      <c r="H248" s="48" t="s">
        <v>151</v>
      </c>
    </row>
    <row r="249" spans="2:8" x14ac:dyDescent="0.25">
      <c r="B249" s="43" t="s">
        <v>131</v>
      </c>
      <c r="C249" s="44" t="s">
        <v>10</v>
      </c>
      <c r="D249" s="45">
        <v>12.15</v>
      </c>
      <c r="E249" s="45">
        <v>2.36</v>
      </c>
      <c r="F249" s="46">
        <f t="shared" si="20"/>
        <v>28.673999999999999</v>
      </c>
      <c r="G249" s="46" t="s">
        <v>143</v>
      </c>
      <c r="H249" s="48" t="s">
        <v>152</v>
      </c>
    </row>
    <row r="250" spans="2:8" x14ac:dyDescent="0.25">
      <c r="B250" s="43" t="s">
        <v>132</v>
      </c>
      <c r="C250" s="44" t="s">
        <v>10</v>
      </c>
      <c r="D250" s="45">
        <v>12.15</v>
      </c>
      <c r="E250" s="45">
        <v>12.18</v>
      </c>
      <c r="F250" s="46">
        <f t="shared" si="20"/>
        <v>147.98699999999999</v>
      </c>
      <c r="G250" s="46" t="s">
        <v>143</v>
      </c>
      <c r="H250" s="48" t="s">
        <v>153</v>
      </c>
    </row>
    <row r="251" spans="2:8" x14ac:dyDescent="0.25">
      <c r="B251" s="43" t="s">
        <v>137</v>
      </c>
      <c r="C251" s="44" t="s">
        <v>10</v>
      </c>
      <c r="D251" s="45">
        <v>12.15</v>
      </c>
      <c r="E251" s="45">
        <v>9.2100000000000009</v>
      </c>
      <c r="F251" s="46">
        <f t="shared" si="20"/>
        <v>111.90150000000001</v>
      </c>
      <c r="G251" s="46" t="s">
        <v>138</v>
      </c>
      <c r="H251" s="48">
        <v>8624</v>
      </c>
    </row>
    <row r="252" spans="2:8" x14ac:dyDescent="0.25">
      <c r="B252" s="43" t="s">
        <v>133</v>
      </c>
      <c r="C252" s="44" t="s">
        <v>10</v>
      </c>
      <c r="D252" s="45">
        <v>12.15</v>
      </c>
      <c r="E252" s="45">
        <v>1.51</v>
      </c>
      <c r="F252" s="46">
        <f t="shared" si="20"/>
        <v>18.346499999999999</v>
      </c>
      <c r="G252" s="46" t="s">
        <v>143</v>
      </c>
      <c r="H252" s="48" t="s">
        <v>154</v>
      </c>
    </row>
    <row r="253" spans="2:8" x14ac:dyDescent="0.25">
      <c r="B253" s="43" t="s">
        <v>54</v>
      </c>
      <c r="C253" s="44" t="s">
        <v>10</v>
      </c>
      <c r="D253" s="45">
        <v>12.15</v>
      </c>
      <c r="E253" s="45">
        <v>6.71</v>
      </c>
      <c r="F253" s="46">
        <f t="shared" si="20"/>
        <v>81.526499999999999</v>
      </c>
      <c r="G253" s="46" t="s">
        <v>143</v>
      </c>
      <c r="H253" s="48">
        <v>84651</v>
      </c>
    </row>
    <row r="254" spans="2:8" x14ac:dyDescent="0.25">
      <c r="B254" s="43" t="s">
        <v>134</v>
      </c>
      <c r="C254" s="44" t="s">
        <v>10</v>
      </c>
      <c r="D254" s="45">
        <v>5.2</v>
      </c>
      <c r="E254" s="45">
        <v>271.81</v>
      </c>
      <c r="F254" s="46">
        <f t="shared" si="20"/>
        <v>1413.412</v>
      </c>
      <c r="G254" s="46" t="s">
        <v>138</v>
      </c>
      <c r="H254" s="48" t="s">
        <v>147</v>
      </c>
    </row>
    <row r="255" spans="2:8" x14ac:dyDescent="0.25">
      <c r="B255" s="43" t="s">
        <v>135</v>
      </c>
      <c r="C255" s="44" t="s">
        <v>10</v>
      </c>
      <c r="D255" s="45">
        <v>0.44</v>
      </c>
      <c r="E255" s="45">
        <v>271.81</v>
      </c>
      <c r="F255" s="46">
        <f t="shared" si="20"/>
        <v>119.5964</v>
      </c>
      <c r="G255" s="46" t="s">
        <v>138</v>
      </c>
      <c r="H255" s="48" t="s">
        <v>147</v>
      </c>
    </row>
    <row r="256" spans="2:8" x14ac:dyDescent="0.25">
      <c r="B256" s="43" t="s">
        <v>155</v>
      </c>
      <c r="C256" s="44" t="s">
        <v>5</v>
      </c>
      <c r="D256" s="45">
        <v>1</v>
      </c>
      <c r="E256" s="45">
        <v>108.35</v>
      </c>
      <c r="F256" s="46">
        <f t="shared" si="20"/>
        <v>108.35</v>
      </c>
      <c r="G256" s="46" t="s">
        <v>143</v>
      </c>
      <c r="H256" s="48" t="s">
        <v>156</v>
      </c>
    </row>
    <row r="257" spans="2:8" x14ac:dyDescent="0.25">
      <c r="B257" s="43" t="s">
        <v>23</v>
      </c>
      <c r="C257" s="44"/>
      <c r="D257" s="45"/>
      <c r="E257" s="45"/>
      <c r="F257" s="45">
        <f>SUM(F244:F256)</f>
        <v>2651.0860999999995</v>
      </c>
      <c r="G257" s="46"/>
      <c r="H257" s="48"/>
    </row>
    <row r="260" spans="2:8" x14ac:dyDescent="0.25">
      <c r="B260" s="451" t="s">
        <v>217</v>
      </c>
      <c r="C260" s="452"/>
      <c r="D260" s="452"/>
      <c r="E260" s="452"/>
      <c r="F260" s="452"/>
      <c r="G260" s="452"/>
      <c r="H260" s="453"/>
    </row>
    <row r="261" spans="2:8" x14ac:dyDescent="0.25">
      <c r="B261" s="448" t="s">
        <v>179</v>
      </c>
      <c r="C261" s="449"/>
      <c r="D261" s="449"/>
      <c r="E261" s="449"/>
      <c r="F261" s="449"/>
      <c r="G261" s="449"/>
      <c r="H261" s="450"/>
    </row>
    <row r="262" spans="2:8" x14ac:dyDescent="0.25">
      <c r="B262" s="41" t="s">
        <v>124</v>
      </c>
      <c r="C262" s="42" t="s">
        <v>95</v>
      </c>
      <c r="D262" s="42" t="s">
        <v>125</v>
      </c>
      <c r="E262" s="42" t="s">
        <v>126</v>
      </c>
      <c r="F262" s="42" t="s">
        <v>127</v>
      </c>
      <c r="G262" s="42" t="s">
        <v>128</v>
      </c>
      <c r="H262" s="42" t="s">
        <v>129</v>
      </c>
    </row>
    <row r="263" spans="2:8" x14ac:dyDescent="0.25">
      <c r="B263" s="43" t="s">
        <v>150</v>
      </c>
      <c r="C263" s="44" t="s">
        <v>10</v>
      </c>
      <c r="D263" s="45">
        <v>1.6</v>
      </c>
      <c r="E263" s="45">
        <v>45.59</v>
      </c>
      <c r="F263" s="46">
        <f t="shared" ref="F263:F270" si="21">D263*E263</f>
        <v>72.944000000000003</v>
      </c>
      <c r="G263" s="46" t="s">
        <v>143</v>
      </c>
      <c r="H263" s="48" t="s">
        <v>151</v>
      </c>
    </row>
    <row r="264" spans="2:8" x14ac:dyDescent="0.25">
      <c r="B264" s="43" t="s">
        <v>131</v>
      </c>
      <c r="C264" s="44" t="s">
        <v>10</v>
      </c>
      <c r="D264" s="45">
        <v>3.2</v>
      </c>
      <c r="E264" s="45">
        <v>2.36</v>
      </c>
      <c r="F264" s="46">
        <f t="shared" si="21"/>
        <v>7.5519999999999996</v>
      </c>
      <c r="G264" s="46" t="s">
        <v>143</v>
      </c>
      <c r="H264" s="48" t="s">
        <v>152</v>
      </c>
    </row>
    <row r="265" spans="2:8" x14ac:dyDescent="0.25">
      <c r="B265" s="43" t="s">
        <v>132</v>
      </c>
      <c r="C265" s="44" t="s">
        <v>10</v>
      </c>
      <c r="D265" s="45">
        <v>3.2</v>
      </c>
      <c r="E265" s="45">
        <v>12.18</v>
      </c>
      <c r="F265" s="46">
        <f t="shared" si="21"/>
        <v>38.975999999999999</v>
      </c>
      <c r="G265" s="46" t="s">
        <v>143</v>
      </c>
      <c r="H265" s="48" t="s">
        <v>153</v>
      </c>
    </row>
    <row r="266" spans="2:8" x14ac:dyDescent="0.25">
      <c r="B266" s="43" t="s">
        <v>137</v>
      </c>
      <c r="C266" s="44" t="s">
        <v>10</v>
      </c>
      <c r="D266" s="45">
        <v>3.2</v>
      </c>
      <c r="E266" s="45">
        <v>9.2100000000000009</v>
      </c>
      <c r="F266" s="46">
        <f t="shared" si="21"/>
        <v>29.472000000000005</v>
      </c>
      <c r="G266" s="46" t="s">
        <v>138</v>
      </c>
      <c r="H266" s="48">
        <v>8624</v>
      </c>
    </row>
    <row r="267" spans="2:8" x14ac:dyDescent="0.25">
      <c r="B267" s="43" t="s">
        <v>133</v>
      </c>
      <c r="C267" s="44" t="s">
        <v>10</v>
      </c>
      <c r="D267" s="45">
        <v>3.2</v>
      </c>
      <c r="E267" s="45">
        <v>1.51</v>
      </c>
      <c r="F267" s="46">
        <f t="shared" si="21"/>
        <v>4.8320000000000007</v>
      </c>
      <c r="G267" s="46" t="s">
        <v>143</v>
      </c>
      <c r="H267" s="48" t="s">
        <v>154</v>
      </c>
    </row>
    <row r="268" spans="2:8" x14ac:dyDescent="0.25">
      <c r="B268" s="43" t="s">
        <v>54</v>
      </c>
      <c r="C268" s="44" t="s">
        <v>10</v>
      </c>
      <c r="D268" s="45">
        <v>3.2</v>
      </c>
      <c r="E268" s="45">
        <v>6.71</v>
      </c>
      <c r="F268" s="46">
        <f t="shared" si="21"/>
        <v>21.472000000000001</v>
      </c>
      <c r="G268" s="46" t="s">
        <v>143</v>
      </c>
      <c r="H268" s="48">
        <v>84651</v>
      </c>
    </row>
    <row r="269" spans="2:8" x14ac:dyDescent="0.25">
      <c r="B269" s="43" t="s">
        <v>134</v>
      </c>
      <c r="C269" s="44" t="s">
        <v>10</v>
      </c>
      <c r="D269" s="45">
        <v>2.0499999999999998</v>
      </c>
      <c r="E269" s="45">
        <v>271.81</v>
      </c>
      <c r="F269" s="46">
        <f t="shared" si="21"/>
        <v>557.21049999999991</v>
      </c>
      <c r="G269" s="46" t="s">
        <v>138</v>
      </c>
      <c r="H269" s="48" t="s">
        <v>147</v>
      </c>
    </row>
    <row r="270" spans="2:8" x14ac:dyDescent="0.25">
      <c r="B270" s="43" t="s">
        <v>135</v>
      </c>
      <c r="C270" s="44" t="s">
        <v>10</v>
      </c>
      <c r="D270" s="45">
        <v>0.17</v>
      </c>
      <c r="E270" s="45">
        <v>271.81</v>
      </c>
      <c r="F270" s="46">
        <f t="shared" si="21"/>
        <v>46.207700000000003</v>
      </c>
      <c r="G270" s="46" t="s">
        <v>138</v>
      </c>
      <c r="H270" s="48" t="s">
        <v>147</v>
      </c>
    </row>
    <row r="271" spans="2:8" x14ac:dyDescent="0.25">
      <c r="B271" s="43" t="s">
        <v>23</v>
      </c>
      <c r="C271" s="44"/>
      <c r="D271" s="45"/>
      <c r="E271" s="45"/>
      <c r="F271" s="45">
        <f>SUM(F263:F270)</f>
        <v>778.6662</v>
      </c>
      <c r="G271" s="46"/>
      <c r="H271" s="48"/>
    </row>
    <row r="274" spans="2:8" x14ac:dyDescent="0.25">
      <c r="B274" s="451" t="s">
        <v>229</v>
      </c>
      <c r="C274" s="452"/>
      <c r="D274" s="452"/>
      <c r="E274" s="452"/>
      <c r="F274" s="452"/>
      <c r="G274" s="452"/>
      <c r="H274" s="453"/>
    </row>
    <row r="275" spans="2:8" x14ac:dyDescent="0.25">
      <c r="B275" s="448" t="s">
        <v>181</v>
      </c>
      <c r="C275" s="449"/>
      <c r="D275" s="449"/>
      <c r="E275" s="449"/>
      <c r="F275" s="449"/>
      <c r="G275" s="449"/>
      <c r="H275" s="450"/>
    </row>
    <row r="276" spans="2:8" x14ac:dyDescent="0.25">
      <c r="B276" s="41" t="s">
        <v>124</v>
      </c>
      <c r="C276" s="42" t="s">
        <v>95</v>
      </c>
      <c r="D276" s="42" t="s">
        <v>125</v>
      </c>
      <c r="E276" s="42" t="s">
        <v>126</v>
      </c>
      <c r="F276" s="42" t="s">
        <v>127</v>
      </c>
      <c r="G276" s="42" t="s">
        <v>128</v>
      </c>
      <c r="H276" s="42" t="s">
        <v>129</v>
      </c>
    </row>
    <row r="277" spans="2:8" x14ac:dyDescent="0.25">
      <c r="B277" s="43" t="s">
        <v>146</v>
      </c>
      <c r="C277" s="44" t="s">
        <v>10</v>
      </c>
      <c r="D277" s="45">
        <v>3.1</v>
      </c>
      <c r="E277" s="45">
        <v>271.81</v>
      </c>
      <c r="F277" s="46">
        <f t="shared" ref="F277" si="22">D277*E277</f>
        <v>842.61099999999999</v>
      </c>
      <c r="G277" s="46" t="s">
        <v>138</v>
      </c>
      <c r="H277" s="48" t="s">
        <v>147</v>
      </c>
    </row>
    <row r="278" spans="2:8" x14ac:dyDescent="0.25">
      <c r="B278" s="43" t="s">
        <v>150</v>
      </c>
      <c r="C278" s="44" t="s">
        <v>10</v>
      </c>
      <c r="D278" s="45">
        <v>9.4</v>
      </c>
      <c r="E278" s="45">
        <v>45.59</v>
      </c>
      <c r="F278" s="46">
        <f t="shared" ref="F278:F285" si="23">D278*E278</f>
        <v>428.54600000000005</v>
      </c>
      <c r="G278" s="46" t="s">
        <v>143</v>
      </c>
      <c r="H278" s="48" t="s">
        <v>151</v>
      </c>
    </row>
    <row r="279" spans="2:8" x14ac:dyDescent="0.25">
      <c r="B279" s="43" t="s">
        <v>131</v>
      </c>
      <c r="C279" s="44" t="s">
        <v>10</v>
      </c>
      <c r="D279" s="45">
        <v>18.8</v>
      </c>
      <c r="E279" s="45">
        <v>2.36</v>
      </c>
      <c r="F279" s="46">
        <f t="shared" si="23"/>
        <v>44.368000000000002</v>
      </c>
      <c r="G279" s="46" t="s">
        <v>143</v>
      </c>
      <c r="H279" s="48" t="s">
        <v>152</v>
      </c>
    </row>
    <row r="280" spans="2:8" x14ac:dyDescent="0.25">
      <c r="B280" s="43" t="s">
        <v>132</v>
      </c>
      <c r="C280" s="44" t="s">
        <v>10</v>
      </c>
      <c r="D280" s="45">
        <v>18.8</v>
      </c>
      <c r="E280" s="45">
        <v>12.18</v>
      </c>
      <c r="F280" s="46">
        <f t="shared" si="23"/>
        <v>228.98400000000001</v>
      </c>
      <c r="G280" s="46" t="s">
        <v>143</v>
      </c>
      <c r="H280" s="48" t="s">
        <v>153</v>
      </c>
    </row>
    <row r="281" spans="2:8" x14ac:dyDescent="0.25">
      <c r="B281" s="43" t="s">
        <v>137</v>
      </c>
      <c r="C281" s="44" t="s">
        <v>10</v>
      </c>
      <c r="D281" s="45">
        <v>18.8</v>
      </c>
      <c r="E281" s="45">
        <v>9.2100000000000009</v>
      </c>
      <c r="F281" s="46">
        <f t="shared" si="23"/>
        <v>173.14800000000002</v>
      </c>
      <c r="G281" s="46" t="s">
        <v>138</v>
      </c>
      <c r="H281" s="48">
        <v>8624</v>
      </c>
    </row>
    <row r="282" spans="2:8" x14ac:dyDescent="0.25">
      <c r="B282" s="43" t="s">
        <v>133</v>
      </c>
      <c r="C282" s="44" t="s">
        <v>10</v>
      </c>
      <c r="D282" s="45">
        <v>18.8</v>
      </c>
      <c r="E282" s="45">
        <v>1.51</v>
      </c>
      <c r="F282" s="46">
        <f t="shared" si="23"/>
        <v>28.388000000000002</v>
      </c>
      <c r="G282" s="46" t="s">
        <v>143</v>
      </c>
      <c r="H282" s="48" t="s">
        <v>154</v>
      </c>
    </row>
    <row r="283" spans="2:8" x14ac:dyDescent="0.25">
      <c r="B283" s="43" t="s">
        <v>54</v>
      </c>
      <c r="C283" s="44" t="s">
        <v>10</v>
      </c>
      <c r="D283" s="45">
        <v>18.8</v>
      </c>
      <c r="E283" s="45">
        <v>6.71</v>
      </c>
      <c r="F283" s="46">
        <f t="shared" si="23"/>
        <v>126.14800000000001</v>
      </c>
      <c r="G283" s="46" t="s">
        <v>143</v>
      </c>
      <c r="H283" s="48">
        <v>84651</v>
      </c>
    </row>
    <row r="284" spans="2:8" x14ac:dyDescent="0.25">
      <c r="B284" s="43" t="s">
        <v>134</v>
      </c>
      <c r="C284" s="44" t="s">
        <v>10</v>
      </c>
      <c r="D284" s="45">
        <v>4.6500000000000004</v>
      </c>
      <c r="E284" s="45">
        <v>271.81</v>
      </c>
      <c r="F284" s="46">
        <f t="shared" si="23"/>
        <v>1263.9165</v>
      </c>
      <c r="G284" s="46" t="s">
        <v>138</v>
      </c>
      <c r="H284" s="48" t="s">
        <v>147</v>
      </c>
    </row>
    <row r="285" spans="2:8" x14ac:dyDescent="0.25">
      <c r="B285" s="43" t="s">
        <v>135</v>
      </c>
      <c r="C285" s="44" t="s">
        <v>10</v>
      </c>
      <c r="D285" s="45">
        <v>0.3</v>
      </c>
      <c r="E285" s="45">
        <v>271.81</v>
      </c>
      <c r="F285" s="46">
        <f t="shared" si="23"/>
        <v>81.542999999999992</v>
      </c>
      <c r="G285" s="46" t="s">
        <v>138</v>
      </c>
      <c r="H285" s="48" t="s">
        <v>147</v>
      </c>
    </row>
    <row r="286" spans="2:8" x14ac:dyDescent="0.25">
      <c r="B286" s="43" t="s">
        <v>23</v>
      </c>
      <c r="C286" s="44"/>
      <c r="D286" s="45"/>
      <c r="E286" s="45"/>
      <c r="F286" s="45">
        <f>SUM(F277:F285)</f>
        <v>3217.6525000000001</v>
      </c>
      <c r="G286" s="46"/>
      <c r="H286" s="48"/>
    </row>
    <row r="289" spans="2:8" x14ac:dyDescent="0.25">
      <c r="B289" s="451" t="s">
        <v>230</v>
      </c>
      <c r="C289" s="452"/>
      <c r="D289" s="452"/>
      <c r="E289" s="452"/>
      <c r="F289" s="452"/>
      <c r="G289" s="452"/>
      <c r="H289" s="453"/>
    </row>
    <row r="290" spans="2:8" x14ac:dyDescent="0.25">
      <c r="B290" s="448" t="s">
        <v>183</v>
      </c>
      <c r="C290" s="449"/>
      <c r="D290" s="449"/>
      <c r="E290" s="449"/>
      <c r="F290" s="449"/>
      <c r="G290" s="449"/>
      <c r="H290" s="450"/>
    </row>
    <row r="291" spans="2:8" x14ac:dyDescent="0.25">
      <c r="B291" s="41" t="s">
        <v>124</v>
      </c>
      <c r="C291" s="42" t="s">
        <v>95</v>
      </c>
      <c r="D291" s="42" t="s">
        <v>125</v>
      </c>
      <c r="E291" s="42" t="s">
        <v>126</v>
      </c>
      <c r="F291" s="42" t="s">
        <v>127</v>
      </c>
      <c r="G291" s="42" t="s">
        <v>128</v>
      </c>
      <c r="H291" s="42" t="s">
        <v>129</v>
      </c>
    </row>
    <row r="292" spans="2:8" x14ac:dyDescent="0.25">
      <c r="B292" s="41" t="s">
        <v>136</v>
      </c>
      <c r="C292" s="42" t="s">
        <v>5</v>
      </c>
      <c r="D292" s="46">
        <v>2</v>
      </c>
      <c r="E292" s="46">
        <v>76.31</v>
      </c>
      <c r="F292" s="46">
        <f>D292*E292</f>
        <v>152.62</v>
      </c>
      <c r="G292" s="46" t="s">
        <v>138</v>
      </c>
      <c r="H292" s="47" t="s">
        <v>139</v>
      </c>
    </row>
    <row r="293" spans="2:8" x14ac:dyDescent="0.25">
      <c r="B293" s="41" t="s">
        <v>140</v>
      </c>
      <c r="C293" s="42" t="s">
        <v>5</v>
      </c>
      <c r="D293" s="46">
        <v>2</v>
      </c>
      <c r="E293" s="46">
        <v>33.15</v>
      </c>
      <c r="F293" s="46">
        <f t="shared" ref="F293:F294" si="24">D293*E293</f>
        <v>66.3</v>
      </c>
      <c r="G293" s="46" t="s">
        <v>138</v>
      </c>
      <c r="H293" s="47" t="s">
        <v>141</v>
      </c>
    </row>
    <row r="294" spans="2:8" x14ac:dyDescent="0.25">
      <c r="B294" s="43" t="s">
        <v>146</v>
      </c>
      <c r="C294" s="44" t="s">
        <v>10</v>
      </c>
      <c r="D294" s="45">
        <v>1.9</v>
      </c>
      <c r="E294" s="45">
        <v>271.81</v>
      </c>
      <c r="F294" s="46">
        <f t="shared" si="24"/>
        <v>516.43899999999996</v>
      </c>
      <c r="G294" s="46" t="s">
        <v>138</v>
      </c>
      <c r="H294" s="48" t="s">
        <v>147</v>
      </c>
    </row>
    <row r="295" spans="2:8" x14ac:dyDescent="0.25">
      <c r="B295" s="43" t="s">
        <v>134</v>
      </c>
      <c r="C295" s="44" t="s">
        <v>10</v>
      </c>
      <c r="D295" s="45">
        <v>1.9</v>
      </c>
      <c r="E295" s="45">
        <v>271.81</v>
      </c>
      <c r="F295" s="46">
        <f>D295*E295</f>
        <v>516.43899999999996</v>
      </c>
      <c r="G295" s="46" t="s">
        <v>138</v>
      </c>
      <c r="H295" s="48" t="s">
        <v>147</v>
      </c>
    </row>
    <row r="296" spans="2:8" s="35" customFormat="1" x14ac:dyDescent="0.25">
      <c r="B296" s="43" t="s">
        <v>184</v>
      </c>
      <c r="C296" s="44" t="s">
        <v>185</v>
      </c>
      <c r="D296" s="45">
        <f>0.8*6</f>
        <v>4.8000000000000007</v>
      </c>
      <c r="E296" s="45">
        <v>80</v>
      </c>
      <c r="F296" s="46">
        <f>D296*E296</f>
        <v>384.00000000000006</v>
      </c>
      <c r="G296" s="46" t="s">
        <v>138</v>
      </c>
      <c r="H296" s="48" t="s">
        <v>186</v>
      </c>
    </row>
    <row r="297" spans="2:8" x14ac:dyDescent="0.25">
      <c r="B297" s="43" t="s">
        <v>23</v>
      </c>
      <c r="C297" s="44"/>
      <c r="D297" s="45"/>
      <c r="E297" s="45"/>
      <c r="F297" s="45">
        <f>SUM(F292:F296)</f>
        <v>1635.7979999999998</v>
      </c>
      <c r="G297" s="46"/>
      <c r="H297" s="48"/>
    </row>
    <row r="300" spans="2:8" x14ac:dyDescent="0.25">
      <c r="B300" s="451" t="s">
        <v>410</v>
      </c>
      <c r="C300" s="452"/>
      <c r="D300" s="452"/>
      <c r="E300" s="452"/>
      <c r="F300" s="452"/>
      <c r="G300" s="452"/>
      <c r="H300" s="453"/>
    </row>
    <row r="301" spans="2:8" x14ac:dyDescent="0.25">
      <c r="B301" s="448" t="s">
        <v>419</v>
      </c>
      <c r="C301" s="449"/>
      <c r="D301" s="449"/>
      <c r="E301" s="449"/>
      <c r="F301" s="449"/>
      <c r="G301" s="449"/>
      <c r="H301" s="450"/>
    </row>
    <row r="302" spans="2:8" x14ac:dyDescent="0.25">
      <c r="B302" s="41" t="s">
        <v>124</v>
      </c>
      <c r="C302" s="42" t="s">
        <v>95</v>
      </c>
      <c r="D302" s="42" t="s">
        <v>125</v>
      </c>
      <c r="E302" s="42" t="s">
        <v>126</v>
      </c>
      <c r="F302" s="42" t="s">
        <v>127</v>
      </c>
      <c r="G302" s="42" t="s">
        <v>128</v>
      </c>
      <c r="H302" s="42" t="s">
        <v>129</v>
      </c>
    </row>
    <row r="303" spans="2:8" x14ac:dyDescent="0.25">
      <c r="B303" s="41" t="s">
        <v>411</v>
      </c>
      <c r="C303" s="42" t="s">
        <v>10</v>
      </c>
      <c r="D303" s="46">
        <f>2*((2.45*1)+(2.45*0.8*2)+(1*0.8*2))</f>
        <v>15.940000000000001</v>
      </c>
      <c r="E303" s="46">
        <v>7.36</v>
      </c>
      <c r="F303" s="46">
        <f>D303*E303</f>
        <v>117.31840000000001</v>
      </c>
      <c r="G303" s="46" t="s">
        <v>138</v>
      </c>
      <c r="H303" s="47" t="s">
        <v>336</v>
      </c>
    </row>
    <row r="304" spans="2:8" x14ac:dyDescent="0.25">
      <c r="B304" s="41" t="s">
        <v>412</v>
      </c>
      <c r="C304" s="42" t="s">
        <v>10</v>
      </c>
      <c r="D304" s="46">
        <f>2*((2.45*1)+(2.45*0.8*2)+(1*0.8*2))</f>
        <v>15.940000000000001</v>
      </c>
      <c r="E304" s="46">
        <v>3.2</v>
      </c>
      <c r="F304" s="46">
        <f>D304*E304</f>
        <v>51.00800000000001</v>
      </c>
      <c r="G304" s="46" t="s">
        <v>138</v>
      </c>
      <c r="H304" s="47" t="s">
        <v>337</v>
      </c>
    </row>
    <row r="305" spans="2:8" x14ac:dyDescent="0.25">
      <c r="B305" s="43" t="s">
        <v>415</v>
      </c>
      <c r="C305" s="44" t="s">
        <v>10</v>
      </c>
      <c r="D305" s="46">
        <f>2*((2.45*1)+(2.45*0.8*2)+(1*0.8*2))</f>
        <v>15.940000000000001</v>
      </c>
      <c r="E305" s="45">
        <v>55.86</v>
      </c>
      <c r="F305" s="46">
        <f>D305*E305</f>
        <v>890.40840000000003</v>
      </c>
      <c r="G305" s="46" t="s">
        <v>143</v>
      </c>
      <c r="H305" s="48" t="s">
        <v>416</v>
      </c>
    </row>
    <row r="306" spans="2:8" x14ac:dyDescent="0.25">
      <c r="B306" s="43" t="s">
        <v>417</v>
      </c>
      <c r="C306" s="44" t="s">
        <v>10</v>
      </c>
      <c r="D306" s="46">
        <f>2*((2.45*1)+(2.45*0.8*2)+(1*0.8*2))</f>
        <v>15.940000000000001</v>
      </c>
      <c r="E306" s="45">
        <v>19.96</v>
      </c>
      <c r="F306" s="46">
        <f>D306*E306</f>
        <v>318.16240000000005</v>
      </c>
      <c r="G306" s="46" t="s">
        <v>143</v>
      </c>
      <c r="H306" s="48" t="s">
        <v>418</v>
      </c>
    </row>
    <row r="307" spans="2:8" ht="25.5" x14ac:dyDescent="0.25">
      <c r="B307" s="43" t="s">
        <v>413</v>
      </c>
      <c r="C307" s="44" t="s">
        <v>10</v>
      </c>
      <c r="D307" s="46">
        <f>2*((2.45*1)+(2.45*0.8*2)+(1*0.8*2))</f>
        <v>15.940000000000001</v>
      </c>
      <c r="E307" s="45">
        <v>30.46</v>
      </c>
      <c r="F307" s="46">
        <f>D307*E307</f>
        <v>485.53240000000005</v>
      </c>
      <c r="G307" s="46" t="s">
        <v>143</v>
      </c>
      <c r="H307" s="48" t="s">
        <v>414</v>
      </c>
    </row>
    <row r="308" spans="2:8" x14ac:dyDescent="0.25">
      <c r="B308" s="43" t="s">
        <v>23</v>
      </c>
      <c r="C308" s="44"/>
      <c r="D308" s="45"/>
      <c r="E308" s="45"/>
      <c r="F308" s="45">
        <f>SUM(F303:F307)</f>
        <v>1862.4296000000004</v>
      </c>
      <c r="G308" s="46"/>
      <c r="H308" s="48"/>
    </row>
    <row r="311" spans="2:8" x14ac:dyDescent="0.25">
      <c r="B311" s="451" t="s">
        <v>420</v>
      </c>
      <c r="C311" s="452"/>
      <c r="D311" s="452"/>
      <c r="E311" s="452"/>
      <c r="F311" s="452"/>
      <c r="G311" s="452"/>
      <c r="H311" s="453"/>
    </row>
    <row r="312" spans="2:8" x14ac:dyDescent="0.25">
      <c r="B312" s="448" t="s">
        <v>422</v>
      </c>
      <c r="C312" s="449"/>
      <c r="D312" s="449"/>
      <c r="E312" s="449"/>
      <c r="F312" s="449"/>
      <c r="G312" s="449"/>
      <c r="H312" s="450"/>
    </row>
    <row r="313" spans="2:8" x14ac:dyDescent="0.25">
      <c r="B313" s="41" t="s">
        <v>124</v>
      </c>
      <c r="C313" s="42" t="s">
        <v>95</v>
      </c>
      <c r="D313" s="42" t="s">
        <v>125</v>
      </c>
      <c r="E313" s="42" t="s">
        <v>126</v>
      </c>
      <c r="F313" s="42" t="s">
        <v>127</v>
      </c>
      <c r="G313" s="42" t="s">
        <v>128</v>
      </c>
      <c r="H313" s="42" t="s">
        <v>129</v>
      </c>
    </row>
    <row r="314" spans="2:8" x14ac:dyDescent="0.25">
      <c r="B314" s="41" t="s">
        <v>411</v>
      </c>
      <c r="C314" s="42" t="s">
        <v>10</v>
      </c>
      <c r="D314" s="46">
        <f>(2.3*1)+(2.3*0.8*2)+(1*0.8*2)</f>
        <v>7.58</v>
      </c>
      <c r="E314" s="46">
        <v>7.36</v>
      </c>
      <c r="F314" s="46">
        <f>D314*E314</f>
        <v>55.788800000000002</v>
      </c>
      <c r="G314" s="46" t="s">
        <v>138</v>
      </c>
      <c r="H314" s="47" t="s">
        <v>336</v>
      </c>
    </row>
    <row r="315" spans="2:8" x14ac:dyDescent="0.25">
      <c r="B315" s="41" t="s">
        <v>412</v>
      </c>
      <c r="C315" s="42" t="s">
        <v>10</v>
      </c>
      <c r="D315" s="46">
        <f>(2.3*1)+(2.3*0.8*2)+(1*0.8*2)</f>
        <v>7.58</v>
      </c>
      <c r="E315" s="46">
        <v>3.2</v>
      </c>
      <c r="F315" s="46">
        <f>D315*E315</f>
        <v>24.256</v>
      </c>
      <c r="G315" s="46" t="s">
        <v>138</v>
      </c>
      <c r="H315" s="47" t="s">
        <v>337</v>
      </c>
    </row>
    <row r="316" spans="2:8" x14ac:dyDescent="0.25">
      <c r="B316" s="43" t="s">
        <v>415</v>
      </c>
      <c r="C316" s="44" t="s">
        <v>10</v>
      </c>
      <c r="D316" s="46">
        <f>(2.3*1)+(2.3*0.8*2)+(1*0.8*2)</f>
        <v>7.58</v>
      </c>
      <c r="E316" s="45">
        <v>55.86</v>
      </c>
      <c r="F316" s="46">
        <f>D316*E316</f>
        <v>423.41879999999998</v>
      </c>
      <c r="G316" s="46" t="s">
        <v>143</v>
      </c>
      <c r="H316" s="48" t="s">
        <v>416</v>
      </c>
    </row>
    <row r="317" spans="2:8" x14ac:dyDescent="0.25">
      <c r="B317" s="43" t="s">
        <v>417</v>
      </c>
      <c r="C317" s="44" t="s">
        <v>10</v>
      </c>
      <c r="D317" s="46">
        <f>(2.3*1)+(2.3*0.8*2)+(1*0.8*2)</f>
        <v>7.58</v>
      </c>
      <c r="E317" s="45">
        <v>19.96</v>
      </c>
      <c r="F317" s="46">
        <f>D317*E317</f>
        <v>151.29680000000002</v>
      </c>
      <c r="G317" s="46" t="s">
        <v>143</v>
      </c>
      <c r="H317" s="48" t="s">
        <v>418</v>
      </c>
    </row>
    <row r="318" spans="2:8" ht="25.5" x14ac:dyDescent="0.25">
      <c r="B318" s="43" t="s">
        <v>413</v>
      </c>
      <c r="C318" s="44" t="s">
        <v>10</v>
      </c>
      <c r="D318" s="46">
        <f>(2.3*1)+(2.3*0.8*2)+(1*0.8*2)</f>
        <v>7.58</v>
      </c>
      <c r="E318" s="45">
        <v>30.46</v>
      </c>
      <c r="F318" s="46">
        <f>D318*E318</f>
        <v>230.88680000000002</v>
      </c>
      <c r="G318" s="46" t="s">
        <v>143</v>
      </c>
      <c r="H318" s="48" t="s">
        <v>414</v>
      </c>
    </row>
    <row r="319" spans="2:8" x14ac:dyDescent="0.25">
      <c r="B319" s="43" t="s">
        <v>23</v>
      </c>
      <c r="C319" s="44"/>
      <c r="D319" s="45"/>
      <c r="E319" s="45"/>
      <c r="F319" s="45">
        <f>SUM(F314:F318)</f>
        <v>885.6472</v>
      </c>
      <c r="G319" s="46"/>
      <c r="H319" s="48"/>
    </row>
    <row r="322" spans="2:8" x14ac:dyDescent="0.25">
      <c r="B322" s="451" t="s">
        <v>421</v>
      </c>
      <c r="C322" s="452"/>
      <c r="D322" s="452"/>
      <c r="E322" s="452"/>
      <c r="F322" s="452"/>
      <c r="G322" s="452"/>
      <c r="H322" s="453"/>
    </row>
    <row r="323" spans="2:8" x14ac:dyDescent="0.25">
      <c r="B323" s="448" t="s">
        <v>423</v>
      </c>
      <c r="C323" s="449"/>
      <c r="D323" s="449"/>
      <c r="E323" s="449"/>
      <c r="F323" s="449"/>
      <c r="G323" s="449"/>
      <c r="H323" s="450"/>
    </row>
    <row r="324" spans="2:8" x14ac:dyDescent="0.25">
      <c r="B324" s="41" t="s">
        <v>124</v>
      </c>
      <c r="C324" s="42" t="s">
        <v>95</v>
      </c>
      <c r="D324" s="42" t="s">
        <v>125</v>
      </c>
      <c r="E324" s="42" t="s">
        <v>126</v>
      </c>
      <c r="F324" s="42" t="s">
        <v>127</v>
      </c>
      <c r="G324" s="42" t="s">
        <v>128</v>
      </c>
      <c r="H324" s="42" t="s">
        <v>129</v>
      </c>
    </row>
    <row r="325" spans="2:8" x14ac:dyDescent="0.25">
      <c r="B325" s="41" t="s">
        <v>411</v>
      </c>
      <c r="C325" s="42" t="s">
        <v>10</v>
      </c>
      <c r="D325" s="46">
        <f>3*((2.09*1)+(2.09*0.8*2)+(1*0.8*2))</f>
        <v>21.101999999999997</v>
      </c>
      <c r="E325" s="46">
        <v>7.36</v>
      </c>
      <c r="F325" s="46">
        <f>D325*E325</f>
        <v>155.31071999999998</v>
      </c>
      <c r="G325" s="46" t="s">
        <v>138</v>
      </c>
      <c r="H325" s="47" t="s">
        <v>336</v>
      </c>
    </row>
    <row r="326" spans="2:8" x14ac:dyDescent="0.25">
      <c r="B326" s="41" t="s">
        <v>412</v>
      </c>
      <c r="C326" s="42" t="s">
        <v>10</v>
      </c>
      <c r="D326" s="46">
        <f>3*((2.09*1)+(2.09*0.8*2)+(1*0.8*2))</f>
        <v>21.101999999999997</v>
      </c>
      <c r="E326" s="46">
        <v>3.2</v>
      </c>
      <c r="F326" s="46">
        <f>D326*E326</f>
        <v>67.526399999999995</v>
      </c>
      <c r="G326" s="46" t="s">
        <v>138</v>
      </c>
      <c r="H326" s="47" t="s">
        <v>337</v>
      </c>
    </row>
    <row r="327" spans="2:8" x14ac:dyDescent="0.25">
      <c r="B327" s="43" t="s">
        <v>415</v>
      </c>
      <c r="C327" s="44" t="s">
        <v>10</v>
      </c>
      <c r="D327" s="46">
        <f>3*((2.09*1)+(2.09*0.8*2)+(1*0.8*2))</f>
        <v>21.101999999999997</v>
      </c>
      <c r="E327" s="45">
        <v>55.86</v>
      </c>
      <c r="F327" s="46">
        <f>D327*E327</f>
        <v>1178.7577199999998</v>
      </c>
      <c r="G327" s="46" t="s">
        <v>143</v>
      </c>
      <c r="H327" s="48" t="s">
        <v>416</v>
      </c>
    </row>
    <row r="328" spans="2:8" x14ac:dyDescent="0.25">
      <c r="B328" s="43" t="s">
        <v>417</v>
      </c>
      <c r="C328" s="44" t="s">
        <v>10</v>
      </c>
      <c r="D328" s="46">
        <f>3*((2.09*1)+(2.09*0.8*2)+(1*0.8*2))</f>
        <v>21.101999999999997</v>
      </c>
      <c r="E328" s="45">
        <v>19.96</v>
      </c>
      <c r="F328" s="46">
        <f>D328*E328</f>
        <v>421.19591999999994</v>
      </c>
      <c r="G328" s="46" t="s">
        <v>143</v>
      </c>
      <c r="H328" s="48" t="s">
        <v>418</v>
      </c>
    </row>
    <row r="329" spans="2:8" ht="25.5" x14ac:dyDescent="0.25">
      <c r="B329" s="43" t="s">
        <v>413</v>
      </c>
      <c r="C329" s="44" t="s">
        <v>10</v>
      </c>
      <c r="D329" s="46">
        <f>3*((2.09*1)+(2.09*0.8*2)+(1*0.8*2))</f>
        <v>21.101999999999997</v>
      </c>
      <c r="E329" s="45">
        <v>30.46</v>
      </c>
      <c r="F329" s="46">
        <f>D329*E329</f>
        <v>642.76691999999991</v>
      </c>
      <c r="G329" s="46" t="s">
        <v>143</v>
      </c>
      <c r="H329" s="48" t="s">
        <v>414</v>
      </c>
    </row>
    <row r="330" spans="2:8" x14ac:dyDescent="0.25">
      <c r="B330" s="43" t="s">
        <v>23</v>
      </c>
      <c r="C330" s="44"/>
      <c r="D330" s="45"/>
      <c r="E330" s="45"/>
      <c r="F330" s="45">
        <f>SUM(F325:F329)</f>
        <v>2465.5576799999994</v>
      </c>
      <c r="G330" s="46"/>
      <c r="H330" s="48"/>
    </row>
    <row r="333" spans="2:8" x14ac:dyDescent="0.25">
      <c r="B333" s="451" t="s">
        <v>424</v>
      </c>
      <c r="C333" s="452"/>
      <c r="D333" s="452"/>
      <c r="E333" s="452"/>
      <c r="F333" s="452"/>
      <c r="G333" s="452"/>
      <c r="H333" s="453"/>
    </row>
    <row r="334" spans="2:8" x14ac:dyDescent="0.25">
      <c r="B334" s="448" t="s">
        <v>425</v>
      </c>
      <c r="C334" s="449"/>
      <c r="D334" s="449"/>
      <c r="E334" s="449"/>
      <c r="F334" s="449"/>
      <c r="G334" s="449"/>
      <c r="H334" s="450"/>
    </row>
    <row r="335" spans="2:8" x14ac:dyDescent="0.25">
      <c r="B335" s="41" t="s">
        <v>124</v>
      </c>
      <c r="C335" s="42" t="s">
        <v>95</v>
      </c>
      <c r="D335" s="42" t="s">
        <v>125</v>
      </c>
      <c r="E335" s="42" t="s">
        <v>126</v>
      </c>
      <c r="F335" s="42" t="s">
        <v>127</v>
      </c>
      <c r="G335" s="42" t="s">
        <v>128</v>
      </c>
      <c r="H335" s="42" t="s">
        <v>129</v>
      </c>
    </row>
    <row r="336" spans="2:8" x14ac:dyDescent="0.25">
      <c r="B336" s="41" t="s">
        <v>411</v>
      </c>
      <c r="C336" s="42" t="s">
        <v>10</v>
      </c>
      <c r="D336" s="46">
        <f>2*((1.81*1)+(1.81*0.8*2)+(1*0.8*2))</f>
        <v>12.612000000000002</v>
      </c>
      <c r="E336" s="46">
        <v>7.36</v>
      </c>
      <c r="F336" s="46">
        <f>D336*E336</f>
        <v>92.824320000000014</v>
      </c>
      <c r="G336" s="46" t="s">
        <v>138</v>
      </c>
      <c r="H336" s="47" t="s">
        <v>336</v>
      </c>
    </row>
    <row r="337" spans="2:8" x14ac:dyDescent="0.25">
      <c r="B337" s="41" t="s">
        <v>412</v>
      </c>
      <c r="C337" s="42" t="s">
        <v>10</v>
      </c>
      <c r="D337" s="46">
        <f>2*((1.81*1)+(1.81*0.8*2)+(1*0.8*2))</f>
        <v>12.612000000000002</v>
      </c>
      <c r="E337" s="46">
        <v>3.2</v>
      </c>
      <c r="F337" s="46">
        <f>D337*E337</f>
        <v>40.35840000000001</v>
      </c>
      <c r="G337" s="46" t="s">
        <v>138</v>
      </c>
      <c r="H337" s="47" t="s">
        <v>337</v>
      </c>
    </row>
    <row r="338" spans="2:8" x14ac:dyDescent="0.25">
      <c r="B338" s="43" t="s">
        <v>415</v>
      </c>
      <c r="C338" s="44" t="s">
        <v>10</v>
      </c>
      <c r="D338" s="46">
        <f>2*((1.81*1)+(1.81*0.8*2)+(1*0.8*2))</f>
        <v>12.612000000000002</v>
      </c>
      <c r="E338" s="45">
        <v>55.86</v>
      </c>
      <c r="F338" s="46">
        <f>D338*E338</f>
        <v>704.50632000000007</v>
      </c>
      <c r="G338" s="46" t="s">
        <v>143</v>
      </c>
      <c r="H338" s="48" t="s">
        <v>416</v>
      </c>
    </row>
    <row r="339" spans="2:8" x14ac:dyDescent="0.25">
      <c r="B339" s="43" t="s">
        <v>417</v>
      </c>
      <c r="C339" s="44" t="s">
        <v>10</v>
      </c>
      <c r="D339" s="46">
        <f>2*((1.81*1)+(1.81*0.8*2)+(1*0.8*2))</f>
        <v>12.612000000000002</v>
      </c>
      <c r="E339" s="45">
        <v>19.96</v>
      </c>
      <c r="F339" s="46">
        <f>D339*E339</f>
        <v>251.73552000000004</v>
      </c>
      <c r="G339" s="46" t="s">
        <v>143</v>
      </c>
      <c r="H339" s="48" t="s">
        <v>418</v>
      </c>
    </row>
    <row r="340" spans="2:8" ht="25.5" x14ac:dyDescent="0.25">
      <c r="B340" s="43" t="s">
        <v>413</v>
      </c>
      <c r="C340" s="44" t="s">
        <v>10</v>
      </c>
      <c r="D340" s="46">
        <f>2*((1.81*1)+(1.81*0.8*2)+(1*0.8*2))</f>
        <v>12.612000000000002</v>
      </c>
      <c r="E340" s="45">
        <v>30.46</v>
      </c>
      <c r="F340" s="46">
        <f>D340*E340</f>
        <v>384.16152000000005</v>
      </c>
      <c r="G340" s="46" t="s">
        <v>143</v>
      </c>
      <c r="H340" s="48" t="s">
        <v>414</v>
      </c>
    </row>
    <row r="341" spans="2:8" x14ac:dyDescent="0.25">
      <c r="B341" s="43" t="s">
        <v>23</v>
      </c>
      <c r="C341" s="44"/>
      <c r="D341" s="45"/>
      <c r="E341" s="45"/>
      <c r="F341" s="45">
        <f>SUM(F336:F340)</f>
        <v>1473.5860800000003</v>
      </c>
      <c r="G341" s="46"/>
      <c r="H341" s="48"/>
    </row>
    <row r="344" spans="2:8" x14ac:dyDescent="0.25">
      <c r="B344" s="451" t="s">
        <v>426</v>
      </c>
      <c r="C344" s="452"/>
      <c r="D344" s="452"/>
      <c r="E344" s="452"/>
      <c r="F344" s="452"/>
      <c r="G344" s="452"/>
      <c r="H344" s="453"/>
    </row>
    <row r="345" spans="2:8" x14ac:dyDescent="0.25">
      <c r="B345" s="448" t="s">
        <v>425</v>
      </c>
      <c r="C345" s="449"/>
      <c r="D345" s="449"/>
      <c r="E345" s="449"/>
      <c r="F345" s="449"/>
      <c r="G345" s="449"/>
      <c r="H345" s="450"/>
    </row>
    <row r="346" spans="2:8" x14ac:dyDescent="0.25">
      <c r="B346" s="41" t="s">
        <v>124</v>
      </c>
      <c r="C346" s="42" t="s">
        <v>95</v>
      </c>
      <c r="D346" s="42" t="s">
        <v>125</v>
      </c>
      <c r="E346" s="42" t="s">
        <v>126</v>
      </c>
      <c r="F346" s="42" t="s">
        <v>127</v>
      </c>
      <c r="G346" s="42" t="s">
        <v>128</v>
      </c>
      <c r="H346" s="42" t="s">
        <v>129</v>
      </c>
    </row>
    <row r="347" spans="2:8" x14ac:dyDescent="0.25">
      <c r="B347" s="41" t="s">
        <v>411</v>
      </c>
      <c r="C347" s="42" t="s">
        <v>10</v>
      </c>
      <c r="D347" s="46">
        <f>(2.31*1)+(2.31*0.8*2)+(1*0.8*2)</f>
        <v>7.6059999999999999</v>
      </c>
      <c r="E347" s="46">
        <v>7.36</v>
      </c>
      <c r="F347" s="46">
        <f>D347*E347</f>
        <v>55.980160000000005</v>
      </c>
      <c r="G347" s="46" t="s">
        <v>138</v>
      </c>
      <c r="H347" s="47" t="s">
        <v>336</v>
      </c>
    </row>
    <row r="348" spans="2:8" x14ac:dyDescent="0.25">
      <c r="B348" s="41" t="s">
        <v>412</v>
      </c>
      <c r="C348" s="42" t="s">
        <v>10</v>
      </c>
      <c r="D348" s="46">
        <f>(2.31*1)+(2.31*0.8*2)+(1*0.8*2)</f>
        <v>7.6059999999999999</v>
      </c>
      <c r="E348" s="46">
        <v>3.2</v>
      </c>
      <c r="F348" s="46">
        <f>D348*E348</f>
        <v>24.339200000000002</v>
      </c>
      <c r="G348" s="46" t="s">
        <v>138</v>
      </c>
      <c r="H348" s="47" t="s">
        <v>337</v>
      </c>
    </row>
    <row r="349" spans="2:8" x14ac:dyDescent="0.25">
      <c r="B349" s="43" t="s">
        <v>415</v>
      </c>
      <c r="C349" s="44" t="s">
        <v>10</v>
      </c>
      <c r="D349" s="46">
        <f>(2.31*1)+(2.31*0.8*2)+(1*0.8*2)</f>
        <v>7.6059999999999999</v>
      </c>
      <c r="E349" s="45">
        <v>55.86</v>
      </c>
      <c r="F349" s="46">
        <f>D349*E349</f>
        <v>424.87115999999997</v>
      </c>
      <c r="G349" s="46" t="s">
        <v>143</v>
      </c>
      <c r="H349" s="48" t="s">
        <v>416</v>
      </c>
    </row>
    <row r="350" spans="2:8" x14ac:dyDescent="0.25">
      <c r="B350" s="43" t="s">
        <v>417</v>
      </c>
      <c r="C350" s="44" t="s">
        <v>10</v>
      </c>
      <c r="D350" s="46">
        <f>(2.31*1)+(2.31*0.8*2)+(1*0.8*2)</f>
        <v>7.6059999999999999</v>
      </c>
      <c r="E350" s="45">
        <v>19.96</v>
      </c>
      <c r="F350" s="46">
        <f>D350*E350</f>
        <v>151.81576000000001</v>
      </c>
      <c r="G350" s="46" t="s">
        <v>143</v>
      </c>
      <c r="H350" s="48" t="s">
        <v>418</v>
      </c>
    </row>
    <row r="351" spans="2:8" ht="25.5" x14ac:dyDescent="0.25">
      <c r="B351" s="43" t="s">
        <v>413</v>
      </c>
      <c r="C351" s="44" t="s">
        <v>10</v>
      </c>
      <c r="D351" s="46">
        <f>(2.31*1)+(2.31*0.8*2)+(1*0.8*2)</f>
        <v>7.6059999999999999</v>
      </c>
      <c r="E351" s="45">
        <v>30.46</v>
      </c>
      <c r="F351" s="46">
        <f>D351*E351</f>
        <v>231.67876000000001</v>
      </c>
      <c r="G351" s="46" t="s">
        <v>143</v>
      </c>
      <c r="H351" s="48" t="s">
        <v>414</v>
      </c>
    </row>
    <row r="352" spans="2:8" x14ac:dyDescent="0.25">
      <c r="B352" s="43" t="s">
        <v>23</v>
      </c>
      <c r="C352" s="44"/>
      <c r="D352" s="45"/>
      <c r="E352" s="45"/>
      <c r="F352" s="45">
        <f>SUM(F347:F351)</f>
        <v>888.68504000000007</v>
      </c>
      <c r="G352" s="46"/>
      <c r="H352" s="48"/>
    </row>
    <row r="354" spans="3:3" x14ac:dyDescent="0.25">
      <c r="C354" s="36"/>
    </row>
    <row r="355" spans="3:3" x14ac:dyDescent="0.25">
      <c r="C355" s="172" t="s">
        <v>617</v>
      </c>
    </row>
    <row r="356" spans="3:3" x14ac:dyDescent="0.25">
      <c r="C356" s="174" t="s">
        <v>619</v>
      </c>
    </row>
    <row r="357" spans="3:3" x14ac:dyDescent="0.25">
      <c r="C357" s="174" t="s">
        <v>618</v>
      </c>
    </row>
    <row r="358" spans="3:3" x14ac:dyDescent="0.25">
      <c r="C358" s="163"/>
    </row>
    <row r="359" spans="3:3" ht="15.75" x14ac:dyDescent="0.25">
      <c r="C359" s="176" t="s">
        <v>335</v>
      </c>
    </row>
    <row r="360" spans="3:3" x14ac:dyDescent="0.25">
      <c r="C360" s="163"/>
    </row>
  </sheetData>
  <mergeCells count="47">
    <mergeCell ref="B4:H7"/>
    <mergeCell ref="B8:H8"/>
    <mergeCell ref="B9:H9"/>
    <mergeCell ref="B20:H20"/>
    <mergeCell ref="B21:H21"/>
    <mergeCell ref="B30:H30"/>
    <mergeCell ref="B31:H31"/>
    <mergeCell ref="B275:H275"/>
    <mergeCell ref="B289:H289"/>
    <mergeCell ref="B290:H290"/>
    <mergeCell ref="B241:H241"/>
    <mergeCell ref="B242:H242"/>
    <mergeCell ref="B260:H260"/>
    <mergeCell ref="B261:H261"/>
    <mergeCell ref="B274:H274"/>
    <mergeCell ref="B190:H190"/>
    <mergeCell ref="B203:H203"/>
    <mergeCell ref="B204:H204"/>
    <mergeCell ref="B222:H222"/>
    <mergeCell ref="B223:H223"/>
    <mergeCell ref="B151:H151"/>
    <mergeCell ref="B152:H152"/>
    <mergeCell ref="B170:H170"/>
    <mergeCell ref="B171:H171"/>
    <mergeCell ref="B189:H189"/>
    <mergeCell ref="B77:H77"/>
    <mergeCell ref="B114:H114"/>
    <mergeCell ref="B115:H115"/>
    <mergeCell ref="B132:H132"/>
    <mergeCell ref="B133:H133"/>
    <mergeCell ref="B95:H95"/>
    <mergeCell ref="B96:H96"/>
    <mergeCell ref="B42:H42"/>
    <mergeCell ref="B43:H43"/>
    <mergeCell ref="B62:H62"/>
    <mergeCell ref="B63:H63"/>
    <mergeCell ref="B76:H76"/>
    <mergeCell ref="B300:H300"/>
    <mergeCell ref="B301:H301"/>
    <mergeCell ref="B311:H311"/>
    <mergeCell ref="B312:H312"/>
    <mergeCell ref="B322:H322"/>
    <mergeCell ref="B323:H323"/>
    <mergeCell ref="B333:H333"/>
    <mergeCell ref="B334:H334"/>
    <mergeCell ref="B344:H344"/>
    <mergeCell ref="B345:H345"/>
  </mergeCells>
  <pageMargins left="0.511811024" right="0.511811024" top="0.78740157499999996" bottom="0.78740157499999996" header="0.31496062000000002" footer="0.31496062000000002"/>
  <pageSetup paperSize="9" scale="93" fitToHeight="0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D76"/>
  <sheetViews>
    <sheetView zoomScale="60" zoomScaleNormal="60" workbookViewId="0">
      <selection activeCell="M94" sqref="M94"/>
    </sheetView>
  </sheetViews>
  <sheetFormatPr defaultRowHeight="15" x14ac:dyDescent="0.25"/>
  <cols>
    <col min="1" max="1" width="7.5703125" style="267" customWidth="1"/>
    <col min="2" max="2" width="35" style="327" customWidth="1"/>
    <col min="3" max="3" width="15.28515625" style="328" customWidth="1"/>
    <col min="4" max="4" width="22.5703125" style="267" bestFit="1" customWidth="1"/>
    <col min="5" max="5" width="10.140625" style="267" customWidth="1"/>
    <col min="6" max="6" width="15.42578125" style="329" bestFit="1" customWidth="1"/>
    <col min="7" max="7" width="10.42578125" style="328" bestFit="1" customWidth="1"/>
    <col min="8" max="8" width="17.28515625" style="267" customWidth="1"/>
    <col min="9" max="9" width="10.42578125" style="328" bestFit="1" customWidth="1"/>
    <col min="10" max="10" width="16.7109375" style="267" customWidth="1"/>
    <col min="11" max="11" width="10.28515625" style="328" customWidth="1"/>
    <col min="12" max="12" width="17.7109375" style="267" customWidth="1"/>
    <col min="13" max="13" width="10.140625" style="328" customWidth="1"/>
    <col min="14" max="14" width="19.28515625" style="267" customWidth="1"/>
    <col min="15" max="15" width="10.42578125" style="328" customWidth="1"/>
    <col min="16" max="16" width="17.42578125" style="267" customWidth="1"/>
    <col min="17" max="17" width="10.140625" style="328" customWidth="1"/>
    <col min="18" max="18" width="20.85546875" style="267" customWidth="1"/>
    <col min="19" max="19" width="10.7109375" style="328" customWidth="1"/>
    <col min="20" max="20" width="21.42578125" style="267" customWidth="1"/>
    <col min="21" max="21" width="12" style="328" hidden="1" customWidth="1"/>
    <col min="22" max="22" width="19.7109375" style="267" hidden="1" customWidth="1"/>
    <col min="23" max="23" width="10.140625" style="328" hidden="1" customWidth="1"/>
    <col min="24" max="24" width="19.7109375" style="267" hidden="1" customWidth="1"/>
    <col min="25" max="25" width="10.140625" style="328" hidden="1" customWidth="1"/>
    <col min="26" max="26" width="21.140625" style="267" hidden="1" customWidth="1"/>
    <col min="27" max="27" width="12.85546875" style="328" hidden="1" customWidth="1"/>
    <col min="28" max="28" width="19.5703125" style="267" hidden="1" customWidth="1"/>
    <col min="29" max="29" width="4.140625" style="267" customWidth="1"/>
    <col min="30" max="30" width="6.42578125" style="330" customWidth="1"/>
    <col min="31" max="256" width="9.140625" style="267"/>
    <col min="257" max="257" width="7.5703125" style="267" customWidth="1"/>
    <col min="258" max="258" width="35" style="267" customWidth="1"/>
    <col min="259" max="259" width="15.28515625" style="267" customWidth="1"/>
    <col min="260" max="260" width="20.28515625" style="267" customWidth="1"/>
    <col min="261" max="261" width="10.140625" style="267" customWidth="1"/>
    <col min="262" max="262" width="14.42578125" style="267" customWidth="1"/>
    <col min="263" max="263" width="8.5703125" style="267" customWidth="1"/>
    <col min="264" max="264" width="17.28515625" style="267" customWidth="1"/>
    <col min="265" max="265" width="8.7109375" style="267" customWidth="1"/>
    <col min="266" max="266" width="16.7109375" style="267" customWidth="1"/>
    <col min="267" max="267" width="10.28515625" style="267" customWidth="1"/>
    <col min="268" max="268" width="17.7109375" style="267" customWidth="1"/>
    <col min="269" max="269" width="10.140625" style="267" customWidth="1"/>
    <col min="270" max="270" width="19.28515625" style="267" customWidth="1"/>
    <col min="271" max="271" width="10.42578125" style="267" customWidth="1"/>
    <col min="272" max="272" width="17.42578125" style="267" customWidth="1"/>
    <col min="273" max="273" width="10.140625" style="267" customWidth="1"/>
    <col min="274" max="274" width="20.85546875" style="267" customWidth="1"/>
    <col min="275" max="275" width="10.7109375" style="267" customWidth="1"/>
    <col min="276" max="276" width="21.42578125" style="267" customWidth="1"/>
    <col min="277" max="277" width="12" style="267" customWidth="1"/>
    <col min="278" max="278" width="19.7109375" style="267" customWidth="1"/>
    <col min="279" max="279" width="10.140625" style="267" customWidth="1"/>
    <col min="280" max="280" width="19.7109375" style="267" customWidth="1"/>
    <col min="281" max="281" width="10.140625" style="267" customWidth="1"/>
    <col min="282" max="282" width="21.140625" style="267" customWidth="1"/>
    <col min="283" max="283" width="12.85546875" style="267" customWidth="1"/>
    <col min="284" max="284" width="19.5703125" style="267" customWidth="1"/>
    <col min="285" max="285" width="4.140625" style="267" customWidth="1"/>
    <col min="286" max="286" width="6.42578125" style="267" customWidth="1"/>
    <col min="287" max="512" width="9.140625" style="267"/>
    <col min="513" max="513" width="7.5703125" style="267" customWidth="1"/>
    <col min="514" max="514" width="35" style="267" customWidth="1"/>
    <col min="515" max="515" width="15.28515625" style="267" customWidth="1"/>
    <col min="516" max="516" width="20.28515625" style="267" customWidth="1"/>
    <col min="517" max="517" width="10.140625" style="267" customWidth="1"/>
    <col min="518" max="518" width="14.42578125" style="267" customWidth="1"/>
    <col min="519" max="519" width="8.5703125" style="267" customWidth="1"/>
    <col min="520" max="520" width="17.28515625" style="267" customWidth="1"/>
    <col min="521" max="521" width="8.7109375" style="267" customWidth="1"/>
    <col min="522" max="522" width="16.7109375" style="267" customWidth="1"/>
    <col min="523" max="523" width="10.28515625" style="267" customWidth="1"/>
    <col min="524" max="524" width="17.7109375" style="267" customWidth="1"/>
    <col min="525" max="525" width="10.140625" style="267" customWidth="1"/>
    <col min="526" max="526" width="19.28515625" style="267" customWidth="1"/>
    <col min="527" max="527" width="10.42578125" style="267" customWidth="1"/>
    <col min="528" max="528" width="17.42578125" style="267" customWidth="1"/>
    <col min="529" max="529" width="10.140625" style="267" customWidth="1"/>
    <col min="530" max="530" width="20.85546875" style="267" customWidth="1"/>
    <col min="531" max="531" width="10.7109375" style="267" customWidth="1"/>
    <col min="532" max="532" width="21.42578125" style="267" customWidth="1"/>
    <col min="533" max="533" width="12" style="267" customWidth="1"/>
    <col min="534" max="534" width="19.7109375" style="267" customWidth="1"/>
    <col min="535" max="535" width="10.140625" style="267" customWidth="1"/>
    <col min="536" max="536" width="19.7109375" style="267" customWidth="1"/>
    <col min="537" max="537" width="10.140625" style="267" customWidth="1"/>
    <col min="538" max="538" width="21.140625" style="267" customWidth="1"/>
    <col min="539" max="539" width="12.85546875" style="267" customWidth="1"/>
    <col min="540" max="540" width="19.5703125" style="267" customWidth="1"/>
    <col min="541" max="541" width="4.140625" style="267" customWidth="1"/>
    <col min="542" max="542" width="6.42578125" style="267" customWidth="1"/>
    <col min="543" max="768" width="9.140625" style="267"/>
    <col min="769" max="769" width="7.5703125" style="267" customWidth="1"/>
    <col min="770" max="770" width="35" style="267" customWidth="1"/>
    <col min="771" max="771" width="15.28515625" style="267" customWidth="1"/>
    <col min="772" max="772" width="20.28515625" style="267" customWidth="1"/>
    <col min="773" max="773" width="10.140625" style="267" customWidth="1"/>
    <col min="774" max="774" width="14.42578125" style="267" customWidth="1"/>
    <col min="775" max="775" width="8.5703125" style="267" customWidth="1"/>
    <col min="776" max="776" width="17.28515625" style="267" customWidth="1"/>
    <col min="777" max="777" width="8.7109375" style="267" customWidth="1"/>
    <col min="778" max="778" width="16.7109375" style="267" customWidth="1"/>
    <col min="779" max="779" width="10.28515625" style="267" customWidth="1"/>
    <col min="780" max="780" width="17.7109375" style="267" customWidth="1"/>
    <col min="781" max="781" width="10.140625" style="267" customWidth="1"/>
    <col min="782" max="782" width="19.28515625" style="267" customWidth="1"/>
    <col min="783" max="783" width="10.42578125" style="267" customWidth="1"/>
    <col min="784" max="784" width="17.42578125" style="267" customWidth="1"/>
    <col min="785" max="785" width="10.140625" style="267" customWidth="1"/>
    <col min="786" max="786" width="20.85546875" style="267" customWidth="1"/>
    <col min="787" max="787" width="10.7109375" style="267" customWidth="1"/>
    <col min="788" max="788" width="21.42578125" style="267" customWidth="1"/>
    <col min="789" max="789" width="12" style="267" customWidth="1"/>
    <col min="790" max="790" width="19.7109375" style="267" customWidth="1"/>
    <col min="791" max="791" width="10.140625" style="267" customWidth="1"/>
    <col min="792" max="792" width="19.7109375" style="267" customWidth="1"/>
    <col min="793" max="793" width="10.140625" style="267" customWidth="1"/>
    <col min="794" max="794" width="21.140625" style="267" customWidth="1"/>
    <col min="795" max="795" width="12.85546875" style="267" customWidth="1"/>
    <col min="796" max="796" width="19.5703125" style="267" customWidth="1"/>
    <col min="797" max="797" width="4.140625" style="267" customWidth="1"/>
    <col min="798" max="798" width="6.42578125" style="267" customWidth="1"/>
    <col min="799" max="1024" width="9.140625" style="267"/>
    <col min="1025" max="1025" width="7.5703125" style="267" customWidth="1"/>
    <col min="1026" max="1026" width="35" style="267" customWidth="1"/>
    <col min="1027" max="1027" width="15.28515625" style="267" customWidth="1"/>
    <col min="1028" max="1028" width="20.28515625" style="267" customWidth="1"/>
    <col min="1029" max="1029" width="10.140625" style="267" customWidth="1"/>
    <col min="1030" max="1030" width="14.42578125" style="267" customWidth="1"/>
    <col min="1031" max="1031" width="8.5703125" style="267" customWidth="1"/>
    <col min="1032" max="1032" width="17.28515625" style="267" customWidth="1"/>
    <col min="1033" max="1033" width="8.7109375" style="267" customWidth="1"/>
    <col min="1034" max="1034" width="16.7109375" style="267" customWidth="1"/>
    <col min="1035" max="1035" width="10.28515625" style="267" customWidth="1"/>
    <col min="1036" max="1036" width="17.7109375" style="267" customWidth="1"/>
    <col min="1037" max="1037" width="10.140625" style="267" customWidth="1"/>
    <col min="1038" max="1038" width="19.28515625" style="267" customWidth="1"/>
    <col min="1039" max="1039" width="10.42578125" style="267" customWidth="1"/>
    <col min="1040" max="1040" width="17.42578125" style="267" customWidth="1"/>
    <col min="1041" max="1041" width="10.140625" style="267" customWidth="1"/>
    <col min="1042" max="1042" width="20.85546875" style="267" customWidth="1"/>
    <col min="1043" max="1043" width="10.7109375" style="267" customWidth="1"/>
    <col min="1044" max="1044" width="21.42578125" style="267" customWidth="1"/>
    <col min="1045" max="1045" width="12" style="267" customWidth="1"/>
    <col min="1046" max="1046" width="19.7109375" style="267" customWidth="1"/>
    <col min="1047" max="1047" width="10.140625" style="267" customWidth="1"/>
    <col min="1048" max="1048" width="19.7109375" style="267" customWidth="1"/>
    <col min="1049" max="1049" width="10.140625" style="267" customWidth="1"/>
    <col min="1050" max="1050" width="21.140625" style="267" customWidth="1"/>
    <col min="1051" max="1051" width="12.85546875" style="267" customWidth="1"/>
    <col min="1052" max="1052" width="19.5703125" style="267" customWidth="1"/>
    <col min="1053" max="1053" width="4.140625" style="267" customWidth="1"/>
    <col min="1054" max="1054" width="6.42578125" style="267" customWidth="1"/>
    <col min="1055" max="1280" width="9.140625" style="267"/>
    <col min="1281" max="1281" width="7.5703125" style="267" customWidth="1"/>
    <col min="1282" max="1282" width="35" style="267" customWidth="1"/>
    <col min="1283" max="1283" width="15.28515625" style="267" customWidth="1"/>
    <col min="1284" max="1284" width="20.28515625" style="267" customWidth="1"/>
    <col min="1285" max="1285" width="10.140625" style="267" customWidth="1"/>
    <col min="1286" max="1286" width="14.42578125" style="267" customWidth="1"/>
    <col min="1287" max="1287" width="8.5703125" style="267" customWidth="1"/>
    <col min="1288" max="1288" width="17.28515625" style="267" customWidth="1"/>
    <col min="1289" max="1289" width="8.7109375" style="267" customWidth="1"/>
    <col min="1290" max="1290" width="16.7109375" style="267" customWidth="1"/>
    <col min="1291" max="1291" width="10.28515625" style="267" customWidth="1"/>
    <col min="1292" max="1292" width="17.7109375" style="267" customWidth="1"/>
    <col min="1293" max="1293" width="10.140625" style="267" customWidth="1"/>
    <col min="1294" max="1294" width="19.28515625" style="267" customWidth="1"/>
    <col min="1295" max="1295" width="10.42578125" style="267" customWidth="1"/>
    <col min="1296" max="1296" width="17.42578125" style="267" customWidth="1"/>
    <col min="1297" max="1297" width="10.140625" style="267" customWidth="1"/>
    <col min="1298" max="1298" width="20.85546875" style="267" customWidth="1"/>
    <col min="1299" max="1299" width="10.7109375" style="267" customWidth="1"/>
    <col min="1300" max="1300" width="21.42578125" style="267" customWidth="1"/>
    <col min="1301" max="1301" width="12" style="267" customWidth="1"/>
    <col min="1302" max="1302" width="19.7109375" style="267" customWidth="1"/>
    <col min="1303" max="1303" width="10.140625" style="267" customWidth="1"/>
    <col min="1304" max="1304" width="19.7109375" style="267" customWidth="1"/>
    <col min="1305" max="1305" width="10.140625" style="267" customWidth="1"/>
    <col min="1306" max="1306" width="21.140625" style="267" customWidth="1"/>
    <col min="1307" max="1307" width="12.85546875" style="267" customWidth="1"/>
    <col min="1308" max="1308" width="19.5703125" style="267" customWidth="1"/>
    <col min="1309" max="1309" width="4.140625" style="267" customWidth="1"/>
    <col min="1310" max="1310" width="6.42578125" style="267" customWidth="1"/>
    <col min="1311" max="1536" width="9.140625" style="267"/>
    <col min="1537" max="1537" width="7.5703125" style="267" customWidth="1"/>
    <col min="1538" max="1538" width="35" style="267" customWidth="1"/>
    <col min="1539" max="1539" width="15.28515625" style="267" customWidth="1"/>
    <col min="1540" max="1540" width="20.28515625" style="267" customWidth="1"/>
    <col min="1541" max="1541" width="10.140625" style="267" customWidth="1"/>
    <col min="1542" max="1542" width="14.42578125" style="267" customWidth="1"/>
    <col min="1543" max="1543" width="8.5703125" style="267" customWidth="1"/>
    <col min="1544" max="1544" width="17.28515625" style="267" customWidth="1"/>
    <col min="1545" max="1545" width="8.7109375" style="267" customWidth="1"/>
    <col min="1546" max="1546" width="16.7109375" style="267" customWidth="1"/>
    <col min="1547" max="1547" width="10.28515625" style="267" customWidth="1"/>
    <col min="1548" max="1548" width="17.7109375" style="267" customWidth="1"/>
    <col min="1549" max="1549" width="10.140625" style="267" customWidth="1"/>
    <col min="1550" max="1550" width="19.28515625" style="267" customWidth="1"/>
    <col min="1551" max="1551" width="10.42578125" style="267" customWidth="1"/>
    <col min="1552" max="1552" width="17.42578125" style="267" customWidth="1"/>
    <col min="1553" max="1553" width="10.140625" style="267" customWidth="1"/>
    <col min="1554" max="1554" width="20.85546875" style="267" customWidth="1"/>
    <col min="1555" max="1555" width="10.7109375" style="267" customWidth="1"/>
    <col min="1556" max="1556" width="21.42578125" style="267" customWidth="1"/>
    <col min="1557" max="1557" width="12" style="267" customWidth="1"/>
    <col min="1558" max="1558" width="19.7109375" style="267" customWidth="1"/>
    <col min="1559" max="1559" width="10.140625" style="267" customWidth="1"/>
    <col min="1560" max="1560" width="19.7109375" style="267" customWidth="1"/>
    <col min="1561" max="1561" width="10.140625" style="267" customWidth="1"/>
    <col min="1562" max="1562" width="21.140625" style="267" customWidth="1"/>
    <col min="1563" max="1563" width="12.85546875" style="267" customWidth="1"/>
    <col min="1564" max="1564" width="19.5703125" style="267" customWidth="1"/>
    <col min="1565" max="1565" width="4.140625" style="267" customWidth="1"/>
    <col min="1566" max="1566" width="6.42578125" style="267" customWidth="1"/>
    <col min="1567" max="1792" width="9.140625" style="267"/>
    <col min="1793" max="1793" width="7.5703125" style="267" customWidth="1"/>
    <col min="1794" max="1794" width="35" style="267" customWidth="1"/>
    <col min="1795" max="1795" width="15.28515625" style="267" customWidth="1"/>
    <col min="1796" max="1796" width="20.28515625" style="267" customWidth="1"/>
    <col min="1797" max="1797" width="10.140625" style="267" customWidth="1"/>
    <col min="1798" max="1798" width="14.42578125" style="267" customWidth="1"/>
    <col min="1799" max="1799" width="8.5703125" style="267" customWidth="1"/>
    <col min="1800" max="1800" width="17.28515625" style="267" customWidth="1"/>
    <col min="1801" max="1801" width="8.7109375" style="267" customWidth="1"/>
    <col min="1802" max="1802" width="16.7109375" style="267" customWidth="1"/>
    <col min="1803" max="1803" width="10.28515625" style="267" customWidth="1"/>
    <col min="1804" max="1804" width="17.7109375" style="267" customWidth="1"/>
    <col min="1805" max="1805" width="10.140625" style="267" customWidth="1"/>
    <col min="1806" max="1806" width="19.28515625" style="267" customWidth="1"/>
    <col min="1807" max="1807" width="10.42578125" style="267" customWidth="1"/>
    <col min="1808" max="1808" width="17.42578125" style="267" customWidth="1"/>
    <col min="1809" max="1809" width="10.140625" style="267" customWidth="1"/>
    <col min="1810" max="1810" width="20.85546875" style="267" customWidth="1"/>
    <col min="1811" max="1811" width="10.7109375" style="267" customWidth="1"/>
    <col min="1812" max="1812" width="21.42578125" style="267" customWidth="1"/>
    <col min="1813" max="1813" width="12" style="267" customWidth="1"/>
    <col min="1814" max="1814" width="19.7109375" style="267" customWidth="1"/>
    <col min="1815" max="1815" width="10.140625" style="267" customWidth="1"/>
    <col min="1816" max="1816" width="19.7109375" style="267" customWidth="1"/>
    <col min="1817" max="1817" width="10.140625" style="267" customWidth="1"/>
    <col min="1818" max="1818" width="21.140625" style="267" customWidth="1"/>
    <col min="1819" max="1819" width="12.85546875" style="267" customWidth="1"/>
    <col min="1820" max="1820" width="19.5703125" style="267" customWidth="1"/>
    <col min="1821" max="1821" width="4.140625" style="267" customWidth="1"/>
    <col min="1822" max="1822" width="6.42578125" style="267" customWidth="1"/>
    <col min="1823" max="2048" width="9.140625" style="267"/>
    <col min="2049" max="2049" width="7.5703125" style="267" customWidth="1"/>
    <col min="2050" max="2050" width="35" style="267" customWidth="1"/>
    <col min="2051" max="2051" width="15.28515625" style="267" customWidth="1"/>
    <col min="2052" max="2052" width="20.28515625" style="267" customWidth="1"/>
    <col min="2053" max="2053" width="10.140625" style="267" customWidth="1"/>
    <col min="2054" max="2054" width="14.42578125" style="267" customWidth="1"/>
    <col min="2055" max="2055" width="8.5703125" style="267" customWidth="1"/>
    <col min="2056" max="2056" width="17.28515625" style="267" customWidth="1"/>
    <col min="2057" max="2057" width="8.7109375" style="267" customWidth="1"/>
    <col min="2058" max="2058" width="16.7109375" style="267" customWidth="1"/>
    <col min="2059" max="2059" width="10.28515625" style="267" customWidth="1"/>
    <col min="2060" max="2060" width="17.7109375" style="267" customWidth="1"/>
    <col min="2061" max="2061" width="10.140625" style="267" customWidth="1"/>
    <col min="2062" max="2062" width="19.28515625" style="267" customWidth="1"/>
    <col min="2063" max="2063" width="10.42578125" style="267" customWidth="1"/>
    <col min="2064" max="2064" width="17.42578125" style="267" customWidth="1"/>
    <col min="2065" max="2065" width="10.140625" style="267" customWidth="1"/>
    <col min="2066" max="2066" width="20.85546875" style="267" customWidth="1"/>
    <col min="2067" max="2067" width="10.7109375" style="267" customWidth="1"/>
    <col min="2068" max="2068" width="21.42578125" style="267" customWidth="1"/>
    <col min="2069" max="2069" width="12" style="267" customWidth="1"/>
    <col min="2070" max="2070" width="19.7109375" style="267" customWidth="1"/>
    <col min="2071" max="2071" width="10.140625" style="267" customWidth="1"/>
    <col min="2072" max="2072" width="19.7109375" style="267" customWidth="1"/>
    <col min="2073" max="2073" width="10.140625" style="267" customWidth="1"/>
    <col min="2074" max="2074" width="21.140625" style="267" customWidth="1"/>
    <col min="2075" max="2075" width="12.85546875" style="267" customWidth="1"/>
    <col min="2076" max="2076" width="19.5703125" style="267" customWidth="1"/>
    <col min="2077" max="2077" width="4.140625" style="267" customWidth="1"/>
    <col min="2078" max="2078" width="6.42578125" style="267" customWidth="1"/>
    <col min="2079" max="2304" width="9.140625" style="267"/>
    <col min="2305" max="2305" width="7.5703125" style="267" customWidth="1"/>
    <col min="2306" max="2306" width="35" style="267" customWidth="1"/>
    <col min="2307" max="2307" width="15.28515625" style="267" customWidth="1"/>
    <col min="2308" max="2308" width="20.28515625" style="267" customWidth="1"/>
    <col min="2309" max="2309" width="10.140625" style="267" customWidth="1"/>
    <col min="2310" max="2310" width="14.42578125" style="267" customWidth="1"/>
    <col min="2311" max="2311" width="8.5703125" style="267" customWidth="1"/>
    <col min="2312" max="2312" width="17.28515625" style="267" customWidth="1"/>
    <col min="2313" max="2313" width="8.7109375" style="267" customWidth="1"/>
    <col min="2314" max="2314" width="16.7109375" style="267" customWidth="1"/>
    <col min="2315" max="2315" width="10.28515625" style="267" customWidth="1"/>
    <col min="2316" max="2316" width="17.7109375" style="267" customWidth="1"/>
    <col min="2317" max="2317" width="10.140625" style="267" customWidth="1"/>
    <col min="2318" max="2318" width="19.28515625" style="267" customWidth="1"/>
    <col min="2319" max="2319" width="10.42578125" style="267" customWidth="1"/>
    <col min="2320" max="2320" width="17.42578125" style="267" customWidth="1"/>
    <col min="2321" max="2321" width="10.140625" style="267" customWidth="1"/>
    <col min="2322" max="2322" width="20.85546875" style="267" customWidth="1"/>
    <col min="2323" max="2323" width="10.7109375" style="267" customWidth="1"/>
    <col min="2324" max="2324" width="21.42578125" style="267" customWidth="1"/>
    <col min="2325" max="2325" width="12" style="267" customWidth="1"/>
    <col min="2326" max="2326" width="19.7109375" style="267" customWidth="1"/>
    <col min="2327" max="2327" width="10.140625" style="267" customWidth="1"/>
    <col min="2328" max="2328" width="19.7109375" style="267" customWidth="1"/>
    <col min="2329" max="2329" width="10.140625" style="267" customWidth="1"/>
    <col min="2330" max="2330" width="21.140625" style="267" customWidth="1"/>
    <col min="2331" max="2331" width="12.85546875" style="267" customWidth="1"/>
    <col min="2332" max="2332" width="19.5703125" style="267" customWidth="1"/>
    <col min="2333" max="2333" width="4.140625" style="267" customWidth="1"/>
    <col min="2334" max="2334" width="6.42578125" style="267" customWidth="1"/>
    <col min="2335" max="2560" width="9.140625" style="267"/>
    <col min="2561" max="2561" width="7.5703125" style="267" customWidth="1"/>
    <col min="2562" max="2562" width="35" style="267" customWidth="1"/>
    <col min="2563" max="2563" width="15.28515625" style="267" customWidth="1"/>
    <col min="2564" max="2564" width="20.28515625" style="267" customWidth="1"/>
    <col min="2565" max="2565" width="10.140625" style="267" customWidth="1"/>
    <col min="2566" max="2566" width="14.42578125" style="267" customWidth="1"/>
    <col min="2567" max="2567" width="8.5703125" style="267" customWidth="1"/>
    <col min="2568" max="2568" width="17.28515625" style="267" customWidth="1"/>
    <col min="2569" max="2569" width="8.7109375" style="267" customWidth="1"/>
    <col min="2570" max="2570" width="16.7109375" style="267" customWidth="1"/>
    <col min="2571" max="2571" width="10.28515625" style="267" customWidth="1"/>
    <col min="2572" max="2572" width="17.7109375" style="267" customWidth="1"/>
    <col min="2573" max="2573" width="10.140625" style="267" customWidth="1"/>
    <col min="2574" max="2574" width="19.28515625" style="267" customWidth="1"/>
    <col min="2575" max="2575" width="10.42578125" style="267" customWidth="1"/>
    <col min="2576" max="2576" width="17.42578125" style="267" customWidth="1"/>
    <col min="2577" max="2577" width="10.140625" style="267" customWidth="1"/>
    <col min="2578" max="2578" width="20.85546875" style="267" customWidth="1"/>
    <col min="2579" max="2579" width="10.7109375" style="267" customWidth="1"/>
    <col min="2580" max="2580" width="21.42578125" style="267" customWidth="1"/>
    <col min="2581" max="2581" width="12" style="267" customWidth="1"/>
    <col min="2582" max="2582" width="19.7109375" style="267" customWidth="1"/>
    <col min="2583" max="2583" width="10.140625" style="267" customWidth="1"/>
    <col min="2584" max="2584" width="19.7109375" style="267" customWidth="1"/>
    <col min="2585" max="2585" width="10.140625" style="267" customWidth="1"/>
    <col min="2586" max="2586" width="21.140625" style="267" customWidth="1"/>
    <col min="2587" max="2587" width="12.85546875" style="267" customWidth="1"/>
    <col min="2588" max="2588" width="19.5703125" style="267" customWidth="1"/>
    <col min="2589" max="2589" width="4.140625" style="267" customWidth="1"/>
    <col min="2590" max="2590" width="6.42578125" style="267" customWidth="1"/>
    <col min="2591" max="2816" width="9.140625" style="267"/>
    <col min="2817" max="2817" width="7.5703125" style="267" customWidth="1"/>
    <col min="2818" max="2818" width="35" style="267" customWidth="1"/>
    <col min="2819" max="2819" width="15.28515625" style="267" customWidth="1"/>
    <col min="2820" max="2820" width="20.28515625" style="267" customWidth="1"/>
    <col min="2821" max="2821" width="10.140625" style="267" customWidth="1"/>
    <col min="2822" max="2822" width="14.42578125" style="267" customWidth="1"/>
    <col min="2823" max="2823" width="8.5703125" style="267" customWidth="1"/>
    <col min="2824" max="2824" width="17.28515625" style="267" customWidth="1"/>
    <col min="2825" max="2825" width="8.7109375" style="267" customWidth="1"/>
    <col min="2826" max="2826" width="16.7109375" style="267" customWidth="1"/>
    <col min="2827" max="2827" width="10.28515625" style="267" customWidth="1"/>
    <col min="2828" max="2828" width="17.7109375" style="267" customWidth="1"/>
    <col min="2829" max="2829" width="10.140625" style="267" customWidth="1"/>
    <col min="2830" max="2830" width="19.28515625" style="267" customWidth="1"/>
    <col min="2831" max="2831" width="10.42578125" style="267" customWidth="1"/>
    <col min="2832" max="2832" width="17.42578125" style="267" customWidth="1"/>
    <col min="2833" max="2833" width="10.140625" style="267" customWidth="1"/>
    <col min="2834" max="2834" width="20.85546875" style="267" customWidth="1"/>
    <col min="2835" max="2835" width="10.7109375" style="267" customWidth="1"/>
    <col min="2836" max="2836" width="21.42578125" style="267" customWidth="1"/>
    <col min="2837" max="2837" width="12" style="267" customWidth="1"/>
    <col min="2838" max="2838" width="19.7109375" style="267" customWidth="1"/>
    <col min="2839" max="2839" width="10.140625" style="267" customWidth="1"/>
    <col min="2840" max="2840" width="19.7109375" style="267" customWidth="1"/>
    <col min="2841" max="2841" width="10.140625" style="267" customWidth="1"/>
    <col min="2842" max="2842" width="21.140625" style="267" customWidth="1"/>
    <col min="2843" max="2843" width="12.85546875" style="267" customWidth="1"/>
    <col min="2844" max="2844" width="19.5703125" style="267" customWidth="1"/>
    <col min="2845" max="2845" width="4.140625" style="267" customWidth="1"/>
    <col min="2846" max="2846" width="6.42578125" style="267" customWidth="1"/>
    <col min="2847" max="3072" width="9.140625" style="267"/>
    <col min="3073" max="3073" width="7.5703125" style="267" customWidth="1"/>
    <col min="3074" max="3074" width="35" style="267" customWidth="1"/>
    <col min="3075" max="3075" width="15.28515625" style="267" customWidth="1"/>
    <col min="3076" max="3076" width="20.28515625" style="267" customWidth="1"/>
    <col min="3077" max="3077" width="10.140625" style="267" customWidth="1"/>
    <col min="3078" max="3078" width="14.42578125" style="267" customWidth="1"/>
    <col min="3079" max="3079" width="8.5703125" style="267" customWidth="1"/>
    <col min="3080" max="3080" width="17.28515625" style="267" customWidth="1"/>
    <col min="3081" max="3081" width="8.7109375" style="267" customWidth="1"/>
    <col min="3082" max="3082" width="16.7109375" style="267" customWidth="1"/>
    <col min="3083" max="3083" width="10.28515625" style="267" customWidth="1"/>
    <col min="3084" max="3084" width="17.7109375" style="267" customWidth="1"/>
    <col min="3085" max="3085" width="10.140625" style="267" customWidth="1"/>
    <col min="3086" max="3086" width="19.28515625" style="267" customWidth="1"/>
    <col min="3087" max="3087" width="10.42578125" style="267" customWidth="1"/>
    <col min="3088" max="3088" width="17.42578125" style="267" customWidth="1"/>
    <col min="3089" max="3089" width="10.140625" style="267" customWidth="1"/>
    <col min="3090" max="3090" width="20.85546875" style="267" customWidth="1"/>
    <col min="3091" max="3091" width="10.7109375" style="267" customWidth="1"/>
    <col min="3092" max="3092" width="21.42578125" style="267" customWidth="1"/>
    <col min="3093" max="3093" width="12" style="267" customWidth="1"/>
    <col min="3094" max="3094" width="19.7109375" style="267" customWidth="1"/>
    <col min="3095" max="3095" width="10.140625" style="267" customWidth="1"/>
    <col min="3096" max="3096" width="19.7109375" style="267" customWidth="1"/>
    <col min="3097" max="3097" width="10.140625" style="267" customWidth="1"/>
    <col min="3098" max="3098" width="21.140625" style="267" customWidth="1"/>
    <col min="3099" max="3099" width="12.85546875" style="267" customWidth="1"/>
    <col min="3100" max="3100" width="19.5703125" style="267" customWidth="1"/>
    <col min="3101" max="3101" width="4.140625" style="267" customWidth="1"/>
    <col min="3102" max="3102" width="6.42578125" style="267" customWidth="1"/>
    <col min="3103" max="3328" width="9.140625" style="267"/>
    <col min="3329" max="3329" width="7.5703125" style="267" customWidth="1"/>
    <col min="3330" max="3330" width="35" style="267" customWidth="1"/>
    <col min="3331" max="3331" width="15.28515625" style="267" customWidth="1"/>
    <col min="3332" max="3332" width="20.28515625" style="267" customWidth="1"/>
    <col min="3333" max="3333" width="10.140625" style="267" customWidth="1"/>
    <col min="3334" max="3334" width="14.42578125" style="267" customWidth="1"/>
    <col min="3335" max="3335" width="8.5703125" style="267" customWidth="1"/>
    <col min="3336" max="3336" width="17.28515625" style="267" customWidth="1"/>
    <col min="3337" max="3337" width="8.7109375" style="267" customWidth="1"/>
    <col min="3338" max="3338" width="16.7109375" style="267" customWidth="1"/>
    <col min="3339" max="3339" width="10.28515625" style="267" customWidth="1"/>
    <col min="3340" max="3340" width="17.7109375" style="267" customWidth="1"/>
    <col min="3341" max="3341" width="10.140625" style="267" customWidth="1"/>
    <col min="3342" max="3342" width="19.28515625" style="267" customWidth="1"/>
    <col min="3343" max="3343" width="10.42578125" style="267" customWidth="1"/>
    <col min="3344" max="3344" width="17.42578125" style="267" customWidth="1"/>
    <col min="3345" max="3345" width="10.140625" style="267" customWidth="1"/>
    <col min="3346" max="3346" width="20.85546875" style="267" customWidth="1"/>
    <col min="3347" max="3347" width="10.7109375" style="267" customWidth="1"/>
    <col min="3348" max="3348" width="21.42578125" style="267" customWidth="1"/>
    <col min="3349" max="3349" width="12" style="267" customWidth="1"/>
    <col min="3350" max="3350" width="19.7109375" style="267" customWidth="1"/>
    <col min="3351" max="3351" width="10.140625" style="267" customWidth="1"/>
    <col min="3352" max="3352" width="19.7109375" style="267" customWidth="1"/>
    <col min="3353" max="3353" width="10.140625" style="267" customWidth="1"/>
    <col min="3354" max="3354" width="21.140625" style="267" customWidth="1"/>
    <col min="3355" max="3355" width="12.85546875" style="267" customWidth="1"/>
    <col min="3356" max="3356" width="19.5703125" style="267" customWidth="1"/>
    <col min="3357" max="3357" width="4.140625" style="267" customWidth="1"/>
    <col min="3358" max="3358" width="6.42578125" style="267" customWidth="1"/>
    <col min="3359" max="3584" width="9.140625" style="267"/>
    <col min="3585" max="3585" width="7.5703125" style="267" customWidth="1"/>
    <col min="3586" max="3586" width="35" style="267" customWidth="1"/>
    <col min="3587" max="3587" width="15.28515625" style="267" customWidth="1"/>
    <col min="3588" max="3588" width="20.28515625" style="267" customWidth="1"/>
    <col min="3589" max="3589" width="10.140625" style="267" customWidth="1"/>
    <col min="3590" max="3590" width="14.42578125" style="267" customWidth="1"/>
    <col min="3591" max="3591" width="8.5703125" style="267" customWidth="1"/>
    <col min="3592" max="3592" width="17.28515625" style="267" customWidth="1"/>
    <col min="3593" max="3593" width="8.7109375" style="267" customWidth="1"/>
    <col min="3594" max="3594" width="16.7109375" style="267" customWidth="1"/>
    <col min="3595" max="3595" width="10.28515625" style="267" customWidth="1"/>
    <col min="3596" max="3596" width="17.7109375" style="267" customWidth="1"/>
    <col min="3597" max="3597" width="10.140625" style="267" customWidth="1"/>
    <col min="3598" max="3598" width="19.28515625" style="267" customWidth="1"/>
    <col min="3599" max="3599" width="10.42578125" style="267" customWidth="1"/>
    <col min="3600" max="3600" width="17.42578125" style="267" customWidth="1"/>
    <col min="3601" max="3601" width="10.140625" style="267" customWidth="1"/>
    <col min="3602" max="3602" width="20.85546875" style="267" customWidth="1"/>
    <col min="3603" max="3603" width="10.7109375" style="267" customWidth="1"/>
    <col min="3604" max="3604" width="21.42578125" style="267" customWidth="1"/>
    <col min="3605" max="3605" width="12" style="267" customWidth="1"/>
    <col min="3606" max="3606" width="19.7109375" style="267" customWidth="1"/>
    <col min="3607" max="3607" width="10.140625" style="267" customWidth="1"/>
    <col min="3608" max="3608" width="19.7109375" style="267" customWidth="1"/>
    <col min="3609" max="3609" width="10.140625" style="267" customWidth="1"/>
    <col min="3610" max="3610" width="21.140625" style="267" customWidth="1"/>
    <col min="3611" max="3611" width="12.85546875" style="267" customWidth="1"/>
    <col min="3612" max="3612" width="19.5703125" style="267" customWidth="1"/>
    <col min="3613" max="3613" width="4.140625" style="267" customWidth="1"/>
    <col min="3614" max="3614" width="6.42578125" style="267" customWidth="1"/>
    <col min="3615" max="3840" width="9.140625" style="267"/>
    <col min="3841" max="3841" width="7.5703125" style="267" customWidth="1"/>
    <col min="3842" max="3842" width="35" style="267" customWidth="1"/>
    <col min="3843" max="3843" width="15.28515625" style="267" customWidth="1"/>
    <col min="3844" max="3844" width="20.28515625" style="267" customWidth="1"/>
    <col min="3845" max="3845" width="10.140625" style="267" customWidth="1"/>
    <col min="3846" max="3846" width="14.42578125" style="267" customWidth="1"/>
    <col min="3847" max="3847" width="8.5703125" style="267" customWidth="1"/>
    <col min="3848" max="3848" width="17.28515625" style="267" customWidth="1"/>
    <col min="3849" max="3849" width="8.7109375" style="267" customWidth="1"/>
    <col min="3850" max="3850" width="16.7109375" style="267" customWidth="1"/>
    <col min="3851" max="3851" width="10.28515625" style="267" customWidth="1"/>
    <col min="3852" max="3852" width="17.7109375" style="267" customWidth="1"/>
    <col min="3853" max="3853" width="10.140625" style="267" customWidth="1"/>
    <col min="3854" max="3854" width="19.28515625" style="267" customWidth="1"/>
    <col min="3855" max="3855" width="10.42578125" style="267" customWidth="1"/>
    <col min="3856" max="3856" width="17.42578125" style="267" customWidth="1"/>
    <col min="3857" max="3857" width="10.140625" style="267" customWidth="1"/>
    <col min="3858" max="3858" width="20.85546875" style="267" customWidth="1"/>
    <col min="3859" max="3859" width="10.7109375" style="267" customWidth="1"/>
    <col min="3860" max="3860" width="21.42578125" style="267" customWidth="1"/>
    <col min="3861" max="3861" width="12" style="267" customWidth="1"/>
    <col min="3862" max="3862" width="19.7109375" style="267" customWidth="1"/>
    <col min="3863" max="3863" width="10.140625" style="267" customWidth="1"/>
    <col min="3864" max="3864" width="19.7109375" style="267" customWidth="1"/>
    <col min="3865" max="3865" width="10.140625" style="267" customWidth="1"/>
    <col min="3866" max="3866" width="21.140625" style="267" customWidth="1"/>
    <col min="3867" max="3867" width="12.85546875" style="267" customWidth="1"/>
    <col min="3868" max="3868" width="19.5703125" style="267" customWidth="1"/>
    <col min="3869" max="3869" width="4.140625" style="267" customWidth="1"/>
    <col min="3870" max="3870" width="6.42578125" style="267" customWidth="1"/>
    <col min="3871" max="4096" width="9.140625" style="267"/>
    <col min="4097" max="4097" width="7.5703125" style="267" customWidth="1"/>
    <col min="4098" max="4098" width="35" style="267" customWidth="1"/>
    <col min="4099" max="4099" width="15.28515625" style="267" customWidth="1"/>
    <col min="4100" max="4100" width="20.28515625" style="267" customWidth="1"/>
    <col min="4101" max="4101" width="10.140625" style="267" customWidth="1"/>
    <col min="4102" max="4102" width="14.42578125" style="267" customWidth="1"/>
    <col min="4103" max="4103" width="8.5703125" style="267" customWidth="1"/>
    <col min="4104" max="4104" width="17.28515625" style="267" customWidth="1"/>
    <col min="4105" max="4105" width="8.7109375" style="267" customWidth="1"/>
    <col min="4106" max="4106" width="16.7109375" style="267" customWidth="1"/>
    <col min="4107" max="4107" width="10.28515625" style="267" customWidth="1"/>
    <col min="4108" max="4108" width="17.7109375" style="267" customWidth="1"/>
    <col min="4109" max="4109" width="10.140625" style="267" customWidth="1"/>
    <col min="4110" max="4110" width="19.28515625" style="267" customWidth="1"/>
    <col min="4111" max="4111" width="10.42578125" style="267" customWidth="1"/>
    <col min="4112" max="4112" width="17.42578125" style="267" customWidth="1"/>
    <col min="4113" max="4113" width="10.140625" style="267" customWidth="1"/>
    <col min="4114" max="4114" width="20.85546875" style="267" customWidth="1"/>
    <col min="4115" max="4115" width="10.7109375" style="267" customWidth="1"/>
    <col min="4116" max="4116" width="21.42578125" style="267" customWidth="1"/>
    <col min="4117" max="4117" width="12" style="267" customWidth="1"/>
    <col min="4118" max="4118" width="19.7109375" style="267" customWidth="1"/>
    <col min="4119" max="4119" width="10.140625" style="267" customWidth="1"/>
    <col min="4120" max="4120" width="19.7109375" style="267" customWidth="1"/>
    <col min="4121" max="4121" width="10.140625" style="267" customWidth="1"/>
    <col min="4122" max="4122" width="21.140625" style="267" customWidth="1"/>
    <col min="4123" max="4123" width="12.85546875" style="267" customWidth="1"/>
    <col min="4124" max="4124" width="19.5703125" style="267" customWidth="1"/>
    <col min="4125" max="4125" width="4.140625" style="267" customWidth="1"/>
    <col min="4126" max="4126" width="6.42578125" style="267" customWidth="1"/>
    <col min="4127" max="4352" width="9.140625" style="267"/>
    <col min="4353" max="4353" width="7.5703125" style="267" customWidth="1"/>
    <col min="4354" max="4354" width="35" style="267" customWidth="1"/>
    <col min="4355" max="4355" width="15.28515625" style="267" customWidth="1"/>
    <col min="4356" max="4356" width="20.28515625" style="267" customWidth="1"/>
    <col min="4357" max="4357" width="10.140625" style="267" customWidth="1"/>
    <col min="4358" max="4358" width="14.42578125" style="267" customWidth="1"/>
    <col min="4359" max="4359" width="8.5703125" style="267" customWidth="1"/>
    <col min="4360" max="4360" width="17.28515625" style="267" customWidth="1"/>
    <col min="4361" max="4361" width="8.7109375" style="267" customWidth="1"/>
    <col min="4362" max="4362" width="16.7109375" style="267" customWidth="1"/>
    <col min="4363" max="4363" width="10.28515625" style="267" customWidth="1"/>
    <col min="4364" max="4364" width="17.7109375" style="267" customWidth="1"/>
    <col min="4365" max="4365" width="10.140625" style="267" customWidth="1"/>
    <col min="4366" max="4366" width="19.28515625" style="267" customWidth="1"/>
    <col min="4367" max="4367" width="10.42578125" style="267" customWidth="1"/>
    <col min="4368" max="4368" width="17.42578125" style="267" customWidth="1"/>
    <col min="4369" max="4369" width="10.140625" style="267" customWidth="1"/>
    <col min="4370" max="4370" width="20.85546875" style="267" customWidth="1"/>
    <col min="4371" max="4371" width="10.7109375" style="267" customWidth="1"/>
    <col min="4372" max="4372" width="21.42578125" style="267" customWidth="1"/>
    <col min="4373" max="4373" width="12" style="267" customWidth="1"/>
    <col min="4374" max="4374" width="19.7109375" style="267" customWidth="1"/>
    <col min="4375" max="4375" width="10.140625" style="267" customWidth="1"/>
    <col min="4376" max="4376" width="19.7109375" style="267" customWidth="1"/>
    <col min="4377" max="4377" width="10.140625" style="267" customWidth="1"/>
    <col min="4378" max="4378" width="21.140625" style="267" customWidth="1"/>
    <col min="4379" max="4379" width="12.85546875" style="267" customWidth="1"/>
    <col min="4380" max="4380" width="19.5703125" style="267" customWidth="1"/>
    <col min="4381" max="4381" width="4.140625" style="267" customWidth="1"/>
    <col min="4382" max="4382" width="6.42578125" style="267" customWidth="1"/>
    <col min="4383" max="4608" width="9.140625" style="267"/>
    <col min="4609" max="4609" width="7.5703125" style="267" customWidth="1"/>
    <col min="4610" max="4610" width="35" style="267" customWidth="1"/>
    <col min="4611" max="4611" width="15.28515625" style="267" customWidth="1"/>
    <col min="4612" max="4612" width="20.28515625" style="267" customWidth="1"/>
    <col min="4613" max="4613" width="10.140625" style="267" customWidth="1"/>
    <col min="4614" max="4614" width="14.42578125" style="267" customWidth="1"/>
    <col min="4615" max="4615" width="8.5703125" style="267" customWidth="1"/>
    <col min="4616" max="4616" width="17.28515625" style="267" customWidth="1"/>
    <col min="4617" max="4617" width="8.7109375" style="267" customWidth="1"/>
    <col min="4618" max="4618" width="16.7109375" style="267" customWidth="1"/>
    <col min="4619" max="4619" width="10.28515625" style="267" customWidth="1"/>
    <col min="4620" max="4620" width="17.7109375" style="267" customWidth="1"/>
    <col min="4621" max="4621" width="10.140625" style="267" customWidth="1"/>
    <col min="4622" max="4622" width="19.28515625" style="267" customWidth="1"/>
    <col min="4623" max="4623" width="10.42578125" style="267" customWidth="1"/>
    <col min="4624" max="4624" width="17.42578125" style="267" customWidth="1"/>
    <col min="4625" max="4625" width="10.140625" style="267" customWidth="1"/>
    <col min="4626" max="4626" width="20.85546875" style="267" customWidth="1"/>
    <col min="4627" max="4627" width="10.7109375" style="267" customWidth="1"/>
    <col min="4628" max="4628" width="21.42578125" style="267" customWidth="1"/>
    <col min="4629" max="4629" width="12" style="267" customWidth="1"/>
    <col min="4630" max="4630" width="19.7109375" style="267" customWidth="1"/>
    <col min="4631" max="4631" width="10.140625" style="267" customWidth="1"/>
    <col min="4632" max="4632" width="19.7109375" style="267" customWidth="1"/>
    <col min="4633" max="4633" width="10.140625" style="267" customWidth="1"/>
    <col min="4634" max="4634" width="21.140625" style="267" customWidth="1"/>
    <col min="4635" max="4635" width="12.85546875" style="267" customWidth="1"/>
    <col min="4636" max="4636" width="19.5703125" style="267" customWidth="1"/>
    <col min="4637" max="4637" width="4.140625" style="267" customWidth="1"/>
    <col min="4638" max="4638" width="6.42578125" style="267" customWidth="1"/>
    <col min="4639" max="4864" width="9.140625" style="267"/>
    <col min="4865" max="4865" width="7.5703125" style="267" customWidth="1"/>
    <col min="4866" max="4866" width="35" style="267" customWidth="1"/>
    <col min="4867" max="4867" width="15.28515625" style="267" customWidth="1"/>
    <col min="4868" max="4868" width="20.28515625" style="267" customWidth="1"/>
    <col min="4869" max="4869" width="10.140625" style="267" customWidth="1"/>
    <col min="4870" max="4870" width="14.42578125" style="267" customWidth="1"/>
    <col min="4871" max="4871" width="8.5703125" style="267" customWidth="1"/>
    <col min="4872" max="4872" width="17.28515625" style="267" customWidth="1"/>
    <col min="4873" max="4873" width="8.7109375" style="267" customWidth="1"/>
    <col min="4874" max="4874" width="16.7109375" style="267" customWidth="1"/>
    <col min="4875" max="4875" width="10.28515625" style="267" customWidth="1"/>
    <col min="4876" max="4876" width="17.7109375" style="267" customWidth="1"/>
    <col min="4877" max="4877" width="10.140625" style="267" customWidth="1"/>
    <col min="4878" max="4878" width="19.28515625" style="267" customWidth="1"/>
    <col min="4879" max="4879" width="10.42578125" style="267" customWidth="1"/>
    <col min="4880" max="4880" width="17.42578125" style="267" customWidth="1"/>
    <col min="4881" max="4881" width="10.140625" style="267" customWidth="1"/>
    <col min="4882" max="4882" width="20.85546875" style="267" customWidth="1"/>
    <col min="4883" max="4883" width="10.7109375" style="267" customWidth="1"/>
    <col min="4884" max="4884" width="21.42578125" style="267" customWidth="1"/>
    <col min="4885" max="4885" width="12" style="267" customWidth="1"/>
    <col min="4886" max="4886" width="19.7109375" style="267" customWidth="1"/>
    <col min="4887" max="4887" width="10.140625" style="267" customWidth="1"/>
    <col min="4888" max="4888" width="19.7109375" style="267" customWidth="1"/>
    <col min="4889" max="4889" width="10.140625" style="267" customWidth="1"/>
    <col min="4890" max="4890" width="21.140625" style="267" customWidth="1"/>
    <col min="4891" max="4891" width="12.85546875" style="267" customWidth="1"/>
    <col min="4892" max="4892" width="19.5703125" style="267" customWidth="1"/>
    <col min="4893" max="4893" width="4.140625" style="267" customWidth="1"/>
    <col min="4894" max="4894" width="6.42578125" style="267" customWidth="1"/>
    <col min="4895" max="5120" width="9.140625" style="267"/>
    <col min="5121" max="5121" width="7.5703125" style="267" customWidth="1"/>
    <col min="5122" max="5122" width="35" style="267" customWidth="1"/>
    <col min="5123" max="5123" width="15.28515625" style="267" customWidth="1"/>
    <col min="5124" max="5124" width="20.28515625" style="267" customWidth="1"/>
    <col min="5125" max="5125" width="10.140625" style="267" customWidth="1"/>
    <col min="5126" max="5126" width="14.42578125" style="267" customWidth="1"/>
    <col min="5127" max="5127" width="8.5703125" style="267" customWidth="1"/>
    <col min="5128" max="5128" width="17.28515625" style="267" customWidth="1"/>
    <col min="5129" max="5129" width="8.7109375" style="267" customWidth="1"/>
    <col min="5130" max="5130" width="16.7109375" style="267" customWidth="1"/>
    <col min="5131" max="5131" width="10.28515625" style="267" customWidth="1"/>
    <col min="5132" max="5132" width="17.7109375" style="267" customWidth="1"/>
    <col min="5133" max="5133" width="10.140625" style="267" customWidth="1"/>
    <col min="5134" max="5134" width="19.28515625" style="267" customWidth="1"/>
    <col min="5135" max="5135" width="10.42578125" style="267" customWidth="1"/>
    <col min="5136" max="5136" width="17.42578125" style="267" customWidth="1"/>
    <col min="5137" max="5137" width="10.140625" style="267" customWidth="1"/>
    <col min="5138" max="5138" width="20.85546875" style="267" customWidth="1"/>
    <col min="5139" max="5139" width="10.7109375" style="267" customWidth="1"/>
    <col min="5140" max="5140" width="21.42578125" style="267" customWidth="1"/>
    <col min="5141" max="5141" width="12" style="267" customWidth="1"/>
    <col min="5142" max="5142" width="19.7109375" style="267" customWidth="1"/>
    <col min="5143" max="5143" width="10.140625" style="267" customWidth="1"/>
    <col min="5144" max="5144" width="19.7109375" style="267" customWidth="1"/>
    <col min="5145" max="5145" width="10.140625" style="267" customWidth="1"/>
    <col min="5146" max="5146" width="21.140625" style="267" customWidth="1"/>
    <col min="5147" max="5147" width="12.85546875" style="267" customWidth="1"/>
    <col min="5148" max="5148" width="19.5703125" style="267" customWidth="1"/>
    <col min="5149" max="5149" width="4.140625" style="267" customWidth="1"/>
    <col min="5150" max="5150" width="6.42578125" style="267" customWidth="1"/>
    <col min="5151" max="5376" width="9.140625" style="267"/>
    <col min="5377" max="5377" width="7.5703125" style="267" customWidth="1"/>
    <col min="5378" max="5378" width="35" style="267" customWidth="1"/>
    <col min="5379" max="5379" width="15.28515625" style="267" customWidth="1"/>
    <col min="5380" max="5380" width="20.28515625" style="267" customWidth="1"/>
    <col min="5381" max="5381" width="10.140625" style="267" customWidth="1"/>
    <col min="5382" max="5382" width="14.42578125" style="267" customWidth="1"/>
    <col min="5383" max="5383" width="8.5703125" style="267" customWidth="1"/>
    <col min="5384" max="5384" width="17.28515625" style="267" customWidth="1"/>
    <col min="5385" max="5385" width="8.7109375" style="267" customWidth="1"/>
    <col min="5386" max="5386" width="16.7109375" style="267" customWidth="1"/>
    <col min="5387" max="5387" width="10.28515625" style="267" customWidth="1"/>
    <col min="5388" max="5388" width="17.7109375" style="267" customWidth="1"/>
    <col min="5389" max="5389" width="10.140625" style="267" customWidth="1"/>
    <col min="5390" max="5390" width="19.28515625" style="267" customWidth="1"/>
    <col min="5391" max="5391" width="10.42578125" style="267" customWidth="1"/>
    <col min="5392" max="5392" width="17.42578125" style="267" customWidth="1"/>
    <col min="5393" max="5393" width="10.140625" style="267" customWidth="1"/>
    <col min="5394" max="5394" width="20.85546875" style="267" customWidth="1"/>
    <col min="5395" max="5395" width="10.7109375" style="267" customWidth="1"/>
    <col min="5396" max="5396" width="21.42578125" style="267" customWidth="1"/>
    <col min="5397" max="5397" width="12" style="267" customWidth="1"/>
    <col min="5398" max="5398" width="19.7109375" style="267" customWidth="1"/>
    <col min="5399" max="5399" width="10.140625" style="267" customWidth="1"/>
    <col min="5400" max="5400" width="19.7109375" style="267" customWidth="1"/>
    <col min="5401" max="5401" width="10.140625" style="267" customWidth="1"/>
    <col min="5402" max="5402" width="21.140625" style="267" customWidth="1"/>
    <col min="5403" max="5403" width="12.85546875" style="267" customWidth="1"/>
    <col min="5404" max="5404" width="19.5703125" style="267" customWidth="1"/>
    <col min="5405" max="5405" width="4.140625" style="267" customWidth="1"/>
    <col min="5406" max="5406" width="6.42578125" style="267" customWidth="1"/>
    <col min="5407" max="5632" width="9.140625" style="267"/>
    <col min="5633" max="5633" width="7.5703125" style="267" customWidth="1"/>
    <col min="5634" max="5634" width="35" style="267" customWidth="1"/>
    <col min="5635" max="5635" width="15.28515625" style="267" customWidth="1"/>
    <col min="5636" max="5636" width="20.28515625" style="267" customWidth="1"/>
    <col min="5637" max="5637" width="10.140625" style="267" customWidth="1"/>
    <col min="5638" max="5638" width="14.42578125" style="267" customWidth="1"/>
    <col min="5639" max="5639" width="8.5703125" style="267" customWidth="1"/>
    <col min="5640" max="5640" width="17.28515625" style="267" customWidth="1"/>
    <col min="5641" max="5641" width="8.7109375" style="267" customWidth="1"/>
    <col min="5642" max="5642" width="16.7109375" style="267" customWidth="1"/>
    <col min="5643" max="5643" width="10.28515625" style="267" customWidth="1"/>
    <col min="5644" max="5644" width="17.7109375" style="267" customWidth="1"/>
    <col min="5645" max="5645" width="10.140625" style="267" customWidth="1"/>
    <col min="5646" max="5646" width="19.28515625" style="267" customWidth="1"/>
    <col min="5647" max="5647" width="10.42578125" style="267" customWidth="1"/>
    <col min="5648" max="5648" width="17.42578125" style="267" customWidth="1"/>
    <col min="5649" max="5649" width="10.140625" style="267" customWidth="1"/>
    <col min="5650" max="5650" width="20.85546875" style="267" customWidth="1"/>
    <col min="5651" max="5651" width="10.7109375" style="267" customWidth="1"/>
    <col min="5652" max="5652" width="21.42578125" style="267" customWidth="1"/>
    <col min="5653" max="5653" width="12" style="267" customWidth="1"/>
    <col min="5654" max="5654" width="19.7109375" style="267" customWidth="1"/>
    <col min="5655" max="5655" width="10.140625" style="267" customWidth="1"/>
    <col min="5656" max="5656" width="19.7109375" style="267" customWidth="1"/>
    <col min="5657" max="5657" width="10.140625" style="267" customWidth="1"/>
    <col min="5658" max="5658" width="21.140625" style="267" customWidth="1"/>
    <col min="5659" max="5659" width="12.85546875" style="267" customWidth="1"/>
    <col min="5660" max="5660" width="19.5703125" style="267" customWidth="1"/>
    <col min="5661" max="5661" width="4.140625" style="267" customWidth="1"/>
    <col min="5662" max="5662" width="6.42578125" style="267" customWidth="1"/>
    <col min="5663" max="5888" width="9.140625" style="267"/>
    <col min="5889" max="5889" width="7.5703125" style="267" customWidth="1"/>
    <col min="5890" max="5890" width="35" style="267" customWidth="1"/>
    <col min="5891" max="5891" width="15.28515625" style="267" customWidth="1"/>
    <col min="5892" max="5892" width="20.28515625" style="267" customWidth="1"/>
    <col min="5893" max="5893" width="10.140625" style="267" customWidth="1"/>
    <col min="5894" max="5894" width="14.42578125" style="267" customWidth="1"/>
    <col min="5895" max="5895" width="8.5703125" style="267" customWidth="1"/>
    <col min="5896" max="5896" width="17.28515625" style="267" customWidth="1"/>
    <col min="5897" max="5897" width="8.7109375" style="267" customWidth="1"/>
    <col min="5898" max="5898" width="16.7109375" style="267" customWidth="1"/>
    <col min="5899" max="5899" width="10.28515625" style="267" customWidth="1"/>
    <col min="5900" max="5900" width="17.7109375" style="267" customWidth="1"/>
    <col min="5901" max="5901" width="10.140625" style="267" customWidth="1"/>
    <col min="5902" max="5902" width="19.28515625" style="267" customWidth="1"/>
    <col min="5903" max="5903" width="10.42578125" style="267" customWidth="1"/>
    <col min="5904" max="5904" width="17.42578125" style="267" customWidth="1"/>
    <col min="5905" max="5905" width="10.140625" style="267" customWidth="1"/>
    <col min="5906" max="5906" width="20.85546875" style="267" customWidth="1"/>
    <col min="5907" max="5907" width="10.7109375" style="267" customWidth="1"/>
    <col min="5908" max="5908" width="21.42578125" style="267" customWidth="1"/>
    <col min="5909" max="5909" width="12" style="267" customWidth="1"/>
    <col min="5910" max="5910" width="19.7109375" style="267" customWidth="1"/>
    <col min="5911" max="5911" width="10.140625" style="267" customWidth="1"/>
    <col min="5912" max="5912" width="19.7109375" style="267" customWidth="1"/>
    <col min="5913" max="5913" width="10.140625" style="267" customWidth="1"/>
    <col min="5914" max="5914" width="21.140625" style="267" customWidth="1"/>
    <col min="5915" max="5915" width="12.85546875" style="267" customWidth="1"/>
    <col min="5916" max="5916" width="19.5703125" style="267" customWidth="1"/>
    <col min="5917" max="5917" width="4.140625" style="267" customWidth="1"/>
    <col min="5918" max="5918" width="6.42578125" style="267" customWidth="1"/>
    <col min="5919" max="6144" width="9.140625" style="267"/>
    <col min="6145" max="6145" width="7.5703125" style="267" customWidth="1"/>
    <col min="6146" max="6146" width="35" style="267" customWidth="1"/>
    <col min="6147" max="6147" width="15.28515625" style="267" customWidth="1"/>
    <col min="6148" max="6148" width="20.28515625" style="267" customWidth="1"/>
    <col min="6149" max="6149" width="10.140625" style="267" customWidth="1"/>
    <col min="6150" max="6150" width="14.42578125" style="267" customWidth="1"/>
    <col min="6151" max="6151" width="8.5703125" style="267" customWidth="1"/>
    <col min="6152" max="6152" width="17.28515625" style="267" customWidth="1"/>
    <col min="6153" max="6153" width="8.7109375" style="267" customWidth="1"/>
    <col min="6154" max="6154" width="16.7109375" style="267" customWidth="1"/>
    <col min="6155" max="6155" width="10.28515625" style="267" customWidth="1"/>
    <col min="6156" max="6156" width="17.7109375" style="267" customWidth="1"/>
    <col min="6157" max="6157" width="10.140625" style="267" customWidth="1"/>
    <col min="6158" max="6158" width="19.28515625" style="267" customWidth="1"/>
    <col min="6159" max="6159" width="10.42578125" style="267" customWidth="1"/>
    <col min="6160" max="6160" width="17.42578125" style="267" customWidth="1"/>
    <col min="6161" max="6161" width="10.140625" style="267" customWidth="1"/>
    <col min="6162" max="6162" width="20.85546875" style="267" customWidth="1"/>
    <col min="6163" max="6163" width="10.7109375" style="267" customWidth="1"/>
    <col min="6164" max="6164" width="21.42578125" style="267" customWidth="1"/>
    <col min="6165" max="6165" width="12" style="267" customWidth="1"/>
    <col min="6166" max="6166" width="19.7109375" style="267" customWidth="1"/>
    <col min="6167" max="6167" width="10.140625" style="267" customWidth="1"/>
    <col min="6168" max="6168" width="19.7109375" style="267" customWidth="1"/>
    <col min="6169" max="6169" width="10.140625" style="267" customWidth="1"/>
    <col min="6170" max="6170" width="21.140625" style="267" customWidth="1"/>
    <col min="6171" max="6171" width="12.85546875" style="267" customWidth="1"/>
    <col min="6172" max="6172" width="19.5703125" style="267" customWidth="1"/>
    <col min="6173" max="6173" width="4.140625" style="267" customWidth="1"/>
    <col min="6174" max="6174" width="6.42578125" style="267" customWidth="1"/>
    <col min="6175" max="6400" width="9.140625" style="267"/>
    <col min="6401" max="6401" width="7.5703125" style="267" customWidth="1"/>
    <col min="6402" max="6402" width="35" style="267" customWidth="1"/>
    <col min="6403" max="6403" width="15.28515625" style="267" customWidth="1"/>
    <col min="6404" max="6404" width="20.28515625" style="267" customWidth="1"/>
    <col min="6405" max="6405" width="10.140625" style="267" customWidth="1"/>
    <col min="6406" max="6406" width="14.42578125" style="267" customWidth="1"/>
    <col min="6407" max="6407" width="8.5703125" style="267" customWidth="1"/>
    <col min="6408" max="6408" width="17.28515625" style="267" customWidth="1"/>
    <col min="6409" max="6409" width="8.7109375" style="267" customWidth="1"/>
    <col min="6410" max="6410" width="16.7109375" style="267" customWidth="1"/>
    <col min="6411" max="6411" width="10.28515625" style="267" customWidth="1"/>
    <col min="6412" max="6412" width="17.7109375" style="267" customWidth="1"/>
    <col min="6413" max="6413" width="10.140625" style="267" customWidth="1"/>
    <col min="6414" max="6414" width="19.28515625" style="267" customWidth="1"/>
    <col min="6415" max="6415" width="10.42578125" style="267" customWidth="1"/>
    <col min="6416" max="6416" width="17.42578125" style="267" customWidth="1"/>
    <col min="6417" max="6417" width="10.140625" style="267" customWidth="1"/>
    <col min="6418" max="6418" width="20.85546875" style="267" customWidth="1"/>
    <col min="6419" max="6419" width="10.7109375" style="267" customWidth="1"/>
    <col min="6420" max="6420" width="21.42578125" style="267" customWidth="1"/>
    <col min="6421" max="6421" width="12" style="267" customWidth="1"/>
    <col min="6422" max="6422" width="19.7109375" style="267" customWidth="1"/>
    <col min="6423" max="6423" width="10.140625" style="267" customWidth="1"/>
    <col min="6424" max="6424" width="19.7109375" style="267" customWidth="1"/>
    <col min="6425" max="6425" width="10.140625" style="267" customWidth="1"/>
    <col min="6426" max="6426" width="21.140625" style="267" customWidth="1"/>
    <col min="6427" max="6427" width="12.85546875" style="267" customWidth="1"/>
    <col min="6428" max="6428" width="19.5703125" style="267" customWidth="1"/>
    <col min="6429" max="6429" width="4.140625" style="267" customWidth="1"/>
    <col min="6430" max="6430" width="6.42578125" style="267" customWidth="1"/>
    <col min="6431" max="6656" width="9.140625" style="267"/>
    <col min="6657" max="6657" width="7.5703125" style="267" customWidth="1"/>
    <col min="6658" max="6658" width="35" style="267" customWidth="1"/>
    <col min="6659" max="6659" width="15.28515625" style="267" customWidth="1"/>
    <col min="6660" max="6660" width="20.28515625" style="267" customWidth="1"/>
    <col min="6661" max="6661" width="10.140625" style="267" customWidth="1"/>
    <col min="6662" max="6662" width="14.42578125" style="267" customWidth="1"/>
    <col min="6663" max="6663" width="8.5703125" style="267" customWidth="1"/>
    <col min="6664" max="6664" width="17.28515625" style="267" customWidth="1"/>
    <col min="6665" max="6665" width="8.7109375" style="267" customWidth="1"/>
    <col min="6666" max="6666" width="16.7109375" style="267" customWidth="1"/>
    <col min="6667" max="6667" width="10.28515625" style="267" customWidth="1"/>
    <col min="6668" max="6668" width="17.7109375" style="267" customWidth="1"/>
    <col min="6669" max="6669" width="10.140625" style="267" customWidth="1"/>
    <col min="6670" max="6670" width="19.28515625" style="267" customWidth="1"/>
    <col min="6671" max="6671" width="10.42578125" style="267" customWidth="1"/>
    <col min="6672" max="6672" width="17.42578125" style="267" customWidth="1"/>
    <col min="6673" max="6673" width="10.140625" style="267" customWidth="1"/>
    <col min="6674" max="6674" width="20.85546875" style="267" customWidth="1"/>
    <col min="6675" max="6675" width="10.7109375" style="267" customWidth="1"/>
    <col min="6676" max="6676" width="21.42578125" style="267" customWidth="1"/>
    <col min="6677" max="6677" width="12" style="267" customWidth="1"/>
    <col min="6678" max="6678" width="19.7109375" style="267" customWidth="1"/>
    <col min="6679" max="6679" width="10.140625" style="267" customWidth="1"/>
    <col min="6680" max="6680" width="19.7109375" style="267" customWidth="1"/>
    <col min="6681" max="6681" width="10.140625" style="267" customWidth="1"/>
    <col min="6682" max="6682" width="21.140625" style="267" customWidth="1"/>
    <col min="6683" max="6683" width="12.85546875" style="267" customWidth="1"/>
    <col min="6684" max="6684" width="19.5703125" style="267" customWidth="1"/>
    <col min="6685" max="6685" width="4.140625" style="267" customWidth="1"/>
    <col min="6686" max="6686" width="6.42578125" style="267" customWidth="1"/>
    <col min="6687" max="6912" width="9.140625" style="267"/>
    <col min="6913" max="6913" width="7.5703125" style="267" customWidth="1"/>
    <col min="6914" max="6914" width="35" style="267" customWidth="1"/>
    <col min="6915" max="6915" width="15.28515625" style="267" customWidth="1"/>
    <col min="6916" max="6916" width="20.28515625" style="267" customWidth="1"/>
    <col min="6917" max="6917" width="10.140625" style="267" customWidth="1"/>
    <col min="6918" max="6918" width="14.42578125" style="267" customWidth="1"/>
    <col min="6919" max="6919" width="8.5703125" style="267" customWidth="1"/>
    <col min="6920" max="6920" width="17.28515625" style="267" customWidth="1"/>
    <col min="6921" max="6921" width="8.7109375" style="267" customWidth="1"/>
    <col min="6922" max="6922" width="16.7109375" style="267" customWidth="1"/>
    <col min="6923" max="6923" width="10.28515625" style="267" customWidth="1"/>
    <col min="6924" max="6924" width="17.7109375" style="267" customWidth="1"/>
    <col min="6925" max="6925" width="10.140625" style="267" customWidth="1"/>
    <col min="6926" max="6926" width="19.28515625" style="267" customWidth="1"/>
    <col min="6927" max="6927" width="10.42578125" style="267" customWidth="1"/>
    <col min="6928" max="6928" width="17.42578125" style="267" customWidth="1"/>
    <col min="6929" max="6929" width="10.140625" style="267" customWidth="1"/>
    <col min="6930" max="6930" width="20.85546875" style="267" customWidth="1"/>
    <col min="6931" max="6931" width="10.7109375" style="267" customWidth="1"/>
    <col min="6932" max="6932" width="21.42578125" style="267" customWidth="1"/>
    <col min="6933" max="6933" width="12" style="267" customWidth="1"/>
    <col min="6934" max="6934" width="19.7109375" style="267" customWidth="1"/>
    <col min="6935" max="6935" width="10.140625" style="267" customWidth="1"/>
    <col min="6936" max="6936" width="19.7109375" style="267" customWidth="1"/>
    <col min="6937" max="6937" width="10.140625" style="267" customWidth="1"/>
    <col min="6938" max="6938" width="21.140625" style="267" customWidth="1"/>
    <col min="6939" max="6939" width="12.85546875" style="267" customWidth="1"/>
    <col min="6940" max="6940" width="19.5703125" style="267" customWidth="1"/>
    <col min="6941" max="6941" width="4.140625" style="267" customWidth="1"/>
    <col min="6942" max="6942" width="6.42578125" style="267" customWidth="1"/>
    <col min="6943" max="7168" width="9.140625" style="267"/>
    <col min="7169" max="7169" width="7.5703125" style="267" customWidth="1"/>
    <col min="7170" max="7170" width="35" style="267" customWidth="1"/>
    <col min="7171" max="7171" width="15.28515625" style="267" customWidth="1"/>
    <col min="7172" max="7172" width="20.28515625" style="267" customWidth="1"/>
    <col min="7173" max="7173" width="10.140625" style="267" customWidth="1"/>
    <col min="7174" max="7174" width="14.42578125" style="267" customWidth="1"/>
    <col min="7175" max="7175" width="8.5703125" style="267" customWidth="1"/>
    <col min="7176" max="7176" width="17.28515625" style="267" customWidth="1"/>
    <col min="7177" max="7177" width="8.7109375" style="267" customWidth="1"/>
    <col min="7178" max="7178" width="16.7109375" style="267" customWidth="1"/>
    <col min="7179" max="7179" width="10.28515625" style="267" customWidth="1"/>
    <col min="7180" max="7180" width="17.7109375" style="267" customWidth="1"/>
    <col min="7181" max="7181" width="10.140625" style="267" customWidth="1"/>
    <col min="7182" max="7182" width="19.28515625" style="267" customWidth="1"/>
    <col min="7183" max="7183" width="10.42578125" style="267" customWidth="1"/>
    <col min="7184" max="7184" width="17.42578125" style="267" customWidth="1"/>
    <col min="7185" max="7185" width="10.140625" style="267" customWidth="1"/>
    <col min="7186" max="7186" width="20.85546875" style="267" customWidth="1"/>
    <col min="7187" max="7187" width="10.7109375" style="267" customWidth="1"/>
    <col min="7188" max="7188" width="21.42578125" style="267" customWidth="1"/>
    <col min="7189" max="7189" width="12" style="267" customWidth="1"/>
    <col min="7190" max="7190" width="19.7109375" style="267" customWidth="1"/>
    <col min="7191" max="7191" width="10.140625" style="267" customWidth="1"/>
    <col min="7192" max="7192" width="19.7109375" style="267" customWidth="1"/>
    <col min="7193" max="7193" width="10.140625" style="267" customWidth="1"/>
    <col min="7194" max="7194" width="21.140625" style="267" customWidth="1"/>
    <col min="7195" max="7195" width="12.85546875" style="267" customWidth="1"/>
    <col min="7196" max="7196" width="19.5703125" style="267" customWidth="1"/>
    <col min="7197" max="7197" width="4.140625" style="267" customWidth="1"/>
    <col min="7198" max="7198" width="6.42578125" style="267" customWidth="1"/>
    <col min="7199" max="7424" width="9.140625" style="267"/>
    <col min="7425" max="7425" width="7.5703125" style="267" customWidth="1"/>
    <col min="7426" max="7426" width="35" style="267" customWidth="1"/>
    <col min="7427" max="7427" width="15.28515625" style="267" customWidth="1"/>
    <col min="7428" max="7428" width="20.28515625" style="267" customWidth="1"/>
    <col min="7429" max="7429" width="10.140625" style="267" customWidth="1"/>
    <col min="7430" max="7430" width="14.42578125" style="267" customWidth="1"/>
    <col min="7431" max="7431" width="8.5703125" style="267" customWidth="1"/>
    <col min="7432" max="7432" width="17.28515625" style="267" customWidth="1"/>
    <col min="7433" max="7433" width="8.7109375" style="267" customWidth="1"/>
    <col min="7434" max="7434" width="16.7109375" style="267" customWidth="1"/>
    <col min="7435" max="7435" width="10.28515625" style="267" customWidth="1"/>
    <col min="7436" max="7436" width="17.7109375" style="267" customWidth="1"/>
    <col min="7437" max="7437" width="10.140625" style="267" customWidth="1"/>
    <col min="7438" max="7438" width="19.28515625" style="267" customWidth="1"/>
    <col min="7439" max="7439" width="10.42578125" style="267" customWidth="1"/>
    <col min="7440" max="7440" width="17.42578125" style="267" customWidth="1"/>
    <col min="7441" max="7441" width="10.140625" style="267" customWidth="1"/>
    <col min="7442" max="7442" width="20.85546875" style="267" customWidth="1"/>
    <col min="7443" max="7443" width="10.7109375" style="267" customWidth="1"/>
    <col min="7444" max="7444" width="21.42578125" style="267" customWidth="1"/>
    <col min="7445" max="7445" width="12" style="267" customWidth="1"/>
    <col min="7446" max="7446" width="19.7109375" style="267" customWidth="1"/>
    <col min="7447" max="7447" width="10.140625" style="267" customWidth="1"/>
    <col min="7448" max="7448" width="19.7109375" style="267" customWidth="1"/>
    <col min="7449" max="7449" width="10.140625" style="267" customWidth="1"/>
    <col min="7450" max="7450" width="21.140625" style="267" customWidth="1"/>
    <col min="7451" max="7451" width="12.85546875" style="267" customWidth="1"/>
    <col min="7452" max="7452" width="19.5703125" style="267" customWidth="1"/>
    <col min="7453" max="7453" width="4.140625" style="267" customWidth="1"/>
    <col min="7454" max="7454" width="6.42578125" style="267" customWidth="1"/>
    <col min="7455" max="7680" width="9.140625" style="267"/>
    <col min="7681" max="7681" width="7.5703125" style="267" customWidth="1"/>
    <col min="7682" max="7682" width="35" style="267" customWidth="1"/>
    <col min="7683" max="7683" width="15.28515625" style="267" customWidth="1"/>
    <col min="7684" max="7684" width="20.28515625" style="267" customWidth="1"/>
    <col min="7685" max="7685" width="10.140625" style="267" customWidth="1"/>
    <col min="7686" max="7686" width="14.42578125" style="267" customWidth="1"/>
    <col min="7687" max="7687" width="8.5703125" style="267" customWidth="1"/>
    <col min="7688" max="7688" width="17.28515625" style="267" customWidth="1"/>
    <col min="7689" max="7689" width="8.7109375" style="267" customWidth="1"/>
    <col min="7690" max="7690" width="16.7109375" style="267" customWidth="1"/>
    <col min="7691" max="7691" width="10.28515625" style="267" customWidth="1"/>
    <col min="7692" max="7692" width="17.7109375" style="267" customWidth="1"/>
    <col min="7693" max="7693" width="10.140625" style="267" customWidth="1"/>
    <col min="7694" max="7694" width="19.28515625" style="267" customWidth="1"/>
    <col min="7695" max="7695" width="10.42578125" style="267" customWidth="1"/>
    <col min="7696" max="7696" width="17.42578125" style="267" customWidth="1"/>
    <col min="7697" max="7697" width="10.140625" style="267" customWidth="1"/>
    <col min="7698" max="7698" width="20.85546875" style="267" customWidth="1"/>
    <col min="7699" max="7699" width="10.7109375" style="267" customWidth="1"/>
    <col min="7700" max="7700" width="21.42578125" style="267" customWidth="1"/>
    <col min="7701" max="7701" width="12" style="267" customWidth="1"/>
    <col min="7702" max="7702" width="19.7109375" style="267" customWidth="1"/>
    <col min="7703" max="7703" width="10.140625" style="267" customWidth="1"/>
    <col min="7704" max="7704" width="19.7109375" style="267" customWidth="1"/>
    <col min="7705" max="7705" width="10.140625" style="267" customWidth="1"/>
    <col min="7706" max="7706" width="21.140625" style="267" customWidth="1"/>
    <col min="7707" max="7707" width="12.85546875" style="267" customWidth="1"/>
    <col min="7708" max="7708" width="19.5703125" style="267" customWidth="1"/>
    <col min="7709" max="7709" width="4.140625" style="267" customWidth="1"/>
    <col min="7710" max="7710" width="6.42578125" style="267" customWidth="1"/>
    <col min="7711" max="7936" width="9.140625" style="267"/>
    <col min="7937" max="7937" width="7.5703125" style="267" customWidth="1"/>
    <col min="7938" max="7938" width="35" style="267" customWidth="1"/>
    <col min="7939" max="7939" width="15.28515625" style="267" customWidth="1"/>
    <col min="7940" max="7940" width="20.28515625" style="267" customWidth="1"/>
    <col min="7941" max="7941" width="10.140625" style="267" customWidth="1"/>
    <col min="7942" max="7942" width="14.42578125" style="267" customWidth="1"/>
    <col min="7943" max="7943" width="8.5703125" style="267" customWidth="1"/>
    <col min="7944" max="7944" width="17.28515625" style="267" customWidth="1"/>
    <col min="7945" max="7945" width="8.7109375" style="267" customWidth="1"/>
    <col min="7946" max="7946" width="16.7109375" style="267" customWidth="1"/>
    <col min="7947" max="7947" width="10.28515625" style="267" customWidth="1"/>
    <col min="7948" max="7948" width="17.7109375" style="267" customWidth="1"/>
    <col min="7949" max="7949" width="10.140625" style="267" customWidth="1"/>
    <col min="7950" max="7950" width="19.28515625" style="267" customWidth="1"/>
    <col min="7951" max="7951" width="10.42578125" style="267" customWidth="1"/>
    <col min="7952" max="7952" width="17.42578125" style="267" customWidth="1"/>
    <col min="7953" max="7953" width="10.140625" style="267" customWidth="1"/>
    <col min="7954" max="7954" width="20.85546875" style="267" customWidth="1"/>
    <col min="7955" max="7955" width="10.7109375" style="267" customWidth="1"/>
    <col min="7956" max="7956" width="21.42578125" style="267" customWidth="1"/>
    <col min="7957" max="7957" width="12" style="267" customWidth="1"/>
    <col min="7958" max="7958" width="19.7109375" style="267" customWidth="1"/>
    <col min="7959" max="7959" width="10.140625" style="267" customWidth="1"/>
    <col min="7960" max="7960" width="19.7109375" style="267" customWidth="1"/>
    <col min="7961" max="7961" width="10.140625" style="267" customWidth="1"/>
    <col min="7962" max="7962" width="21.140625" style="267" customWidth="1"/>
    <col min="7963" max="7963" width="12.85546875" style="267" customWidth="1"/>
    <col min="7964" max="7964" width="19.5703125" style="267" customWidth="1"/>
    <col min="7965" max="7965" width="4.140625" style="267" customWidth="1"/>
    <col min="7966" max="7966" width="6.42578125" style="267" customWidth="1"/>
    <col min="7967" max="8192" width="9.140625" style="267"/>
    <col min="8193" max="8193" width="7.5703125" style="267" customWidth="1"/>
    <col min="8194" max="8194" width="35" style="267" customWidth="1"/>
    <col min="8195" max="8195" width="15.28515625" style="267" customWidth="1"/>
    <col min="8196" max="8196" width="20.28515625" style="267" customWidth="1"/>
    <col min="8197" max="8197" width="10.140625" style="267" customWidth="1"/>
    <col min="8198" max="8198" width="14.42578125" style="267" customWidth="1"/>
    <col min="8199" max="8199" width="8.5703125" style="267" customWidth="1"/>
    <col min="8200" max="8200" width="17.28515625" style="267" customWidth="1"/>
    <col min="8201" max="8201" width="8.7109375" style="267" customWidth="1"/>
    <col min="8202" max="8202" width="16.7109375" style="267" customWidth="1"/>
    <col min="8203" max="8203" width="10.28515625" style="267" customWidth="1"/>
    <col min="8204" max="8204" width="17.7109375" style="267" customWidth="1"/>
    <col min="8205" max="8205" width="10.140625" style="267" customWidth="1"/>
    <col min="8206" max="8206" width="19.28515625" style="267" customWidth="1"/>
    <col min="8207" max="8207" width="10.42578125" style="267" customWidth="1"/>
    <col min="8208" max="8208" width="17.42578125" style="267" customWidth="1"/>
    <col min="8209" max="8209" width="10.140625" style="267" customWidth="1"/>
    <col min="8210" max="8210" width="20.85546875" style="267" customWidth="1"/>
    <col min="8211" max="8211" width="10.7109375" style="267" customWidth="1"/>
    <col min="8212" max="8212" width="21.42578125" style="267" customWidth="1"/>
    <col min="8213" max="8213" width="12" style="267" customWidth="1"/>
    <col min="8214" max="8214" width="19.7109375" style="267" customWidth="1"/>
    <col min="8215" max="8215" width="10.140625" style="267" customWidth="1"/>
    <col min="8216" max="8216" width="19.7109375" style="267" customWidth="1"/>
    <col min="8217" max="8217" width="10.140625" style="267" customWidth="1"/>
    <col min="8218" max="8218" width="21.140625" style="267" customWidth="1"/>
    <col min="8219" max="8219" width="12.85546875" style="267" customWidth="1"/>
    <col min="8220" max="8220" width="19.5703125" style="267" customWidth="1"/>
    <col min="8221" max="8221" width="4.140625" style="267" customWidth="1"/>
    <col min="8222" max="8222" width="6.42578125" style="267" customWidth="1"/>
    <col min="8223" max="8448" width="9.140625" style="267"/>
    <col min="8449" max="8449" width="7.5703125" style="267" customWidth="1"/>
    <col min="8450" max="8450" width="35" style="267" customWidth="1"/>
    <col min="8451" max="8451" width="15.28515625" style="267" customWidth="1"/>
    <col min="8452" max="8452" width="20.28515625" style="267" customWidth="1"/>
    <col min="8453" max="8453" width="10.140625" style="267" customWidth="1"/>
    <col min="8454" max="8454" width="14.42578125" style="267" customWidth="1"/>
    <col min="8455" max="8455" width="8.5703125" style="267" customWidth="1"/>
    <col min="8456" max="8456" width="17.28515625" style="267" customWidth="1"/>
    <col min="8457" max="8457" width="8.7109375" style="267" customWidth="1"/>
    <col min="8458" max="8458" width="16.7109375" style="267" customWidth="1"/>
    <col min="8459" max="8459" width="10.28515625" style="267" customWidth="1"/>
    <col min="8460" max="8460" width="17.7109375" style="267" customWidth="1"/>
    <col min="8461" max="8461" width="10.140625" style="267" customWidth="1"/>
    <col min="8462" max="8462" width="19.28515625" style="267" customWidth="1"/>
    <col min="8463" max="8463" width="10.42578125" style="267" customWidth="1"/>
    <col min="8464" max="8464" width="17.42578125" style="267" customWidth="1"/>
    <col min="8465" max="8465" width="10.140625" style="267" customWidth="1"/>
    <col min="8466" max="8466" width="20.85546875" style="267" customWidth="1"/>
    <col min="8467" max="8467" width="10.7109375" style="267" customWidth="1"/>
    <col min="8468" max="8468" width="21.42578125" style="267" customWidth="1"/>
    <col min="8469" max="8469" width="12" style="267" customWidth="1"/>
    <col min="8470" max="8470" width="19.7109375" style="267" customWidth="1"/>
    <col min="8471" max="8471" width="10.140625" style="267" customWidth="1"/>
    <col min="8472" max="8472" width="19.7109375" style="267" customWidth="1"/>
    <col min="8473" max="8473" width="10.140625" style="267" customWidth="1"/>
    <col min="8474" max="8474" width="21.140625" style="267" customWidth="1"/>
    <col min="8475" max="8475" width="12.85546875" style="267" customWidth="1"/>
    <col min="8476" max="8476" width="19.5703125" style="267" customWidth="1"/>
    <col min="8477" max="8477" width="4.140625" style="267" customWidth="1"/>
    <col min="8478" max="8478" width="6.42578125" style="267" customWidth="1"/>
    <col min="8479" max="8704" width="9.140625" style="267"/>
    <col min="8705" max="8705" width="7.5703125" style="267" customWidth="1"/>
    <col min="8706" max="8706" width="35" style="267" customWidth="1"/>
    <col min="8707" max="8707" width="15.28515625" style="267" customWidth="1"/>
    <col min="8708" max="8708" width="20.28515625" style="267" customWidth="1"/>
    <col min="8709" max="8709" width="10.140625" style="267" customWidth="1"/>
    <col min="8710" max="8710" width="14.42578125" style="267" customWidth="1"/>
    <col min="8711" max="8711" width="8.5703125" style="267" customWidth="1"/>
    <col min="8712" max="8712" width="17.28515625" style="267" customWidth="1"/>
    <col min="8713" max="8713" width="8.7109375" style="267" customWidth="1"/>
    <col min="8714" max="8714" width="16.7109375" style="267" customWidth="1"/>
    <col min="8715" max="8715" width="10.28515625" style="267" customWidth="1"/>
    <col min="8716" max="8716" width="17.7109375" style="267" customWidth="1"/>
    <col min="8717" max="8717" width="10.140625" style="267" customWidth="1"/>
    <col min="8718" max="8718" width="19.28515625" style="267" customWidth="1"/>
    <col min="8719" max="8719" width="10.42578125" style="267" customWidth="1"/>
    <col min="8720" max="8720" width="17.42578125" style="267" customWidth="1"/>
    <col min="8721" max="8721" width="10.140625" style="267" customWidth="1"/>
    <col min="8722" max="8722" width="20.85546875" style="267" customWidth="1"/>
    <col min="8723" max="8723" width="10.7109375" style="267" customWidth="1"/>
    <col min="8724" max="8724" width="21.42578125" style="267" customWidth="1"/>
    <col min="8725" max="8725" width="12" style="267" customWidth="1"/>
    <col min="8726" max="8726" width="19.7109375" style="267" customWidth="1"/>
    <col min="8727" max="8727" width="10.140625" style="267" customWidth="1"/>
    <col min="8728" max="8728" width="19.7109375" style="267" customWidth="1"/>
    <col min="8729" max="8729" width="10.140625" style="267" customWidth="1"/>
    <col min="8730" max="8730" width="21.140625" style="267" customWidth="1"/>
    <col min="8731" max="8731" width="12.85546875" style="267" customWidth="1"/>
    <col min="8732" max="8732" width="19.5703125" style="267" customWidth="1"/>
    <col min="8733" max="8733" width="4.140625" style="267" customWidth="1"/>
    <col min="8734" max="8734" width="6.42578125" style="267" customWidth="1"/>
    <col min="8735" max="8960" width="9.140625" style="267"/>
    <col min="8961" max="8961" width="7.5703125" style="267" customWidth="1"/>
    <col min="8962" max="8962" width="35" style="267" customWidth="1"/>
    <col min="8963" max="8963" width="15.28515625" style="267" customWidth="1"/>
    <col min="8964" max="8964" width="20.28515625" style="267" customWidth="1"/>
    <col min="8965" max="8965" width="10.140625" style="267" customWidth="1"/>
    <col min="8966" max="8966" width="14.42578125" style="267" customWidth="1"/>
    <col min="8967" max="8967" width="8.5703125" style="267" customWidth="1"/>
    <col min="8968" max="8968" width="17.28515625" style="267" customWidth="1"/>
    <col min="8969" max="8969" width="8.7109375" style="267" customWidth="1"/>
    <col min="8970" max="8970" width="16.7109375" style="267" customWidth="1"/>
    <col min="8971" max="8971" width="10.28515625" style="267" customWidth="1"/>
    <col min="8972" max="8972" width="17.7109375" style="267" customWidth="1"/>
    <col min="8973" max="8973" width="10.140625" style="267" customWidth="1"/>
    <col min="8974" max="8974" width="19.28515625" style="267" customWidth="1"/>
    <col min="8975" max="8975" width="10.42578125" style="267" customWidth="1"/>
    <col min="8976" max="8976" width="17.42578125" style="267" customWidth="1"/>
    <col min="8977" max="8977" width="10.140625" style="267" customWidth="1"/>
    <col min="8978" max="8978" width="20.85546875" style="267" customWidth="1"/>
    <col min="8979" max="8979" width="10.7109375" style="267" customWidth="1"/>
    <col min="8980" max="8980" width="21.42578125" style="267" customWidth="1"/>
    <col min="8981" max="8981" width="12" style="267" customWidth="1"/>
    <col min="8982" max="8982" width="19.7109375" style="267" customWidth="1"/>
    <col min="8983" max="8983" width="10.140625" style="267" customWidth="1"/>
    <col min="8984" max="8984" width="19.7109375" style="267" customWidth="1"/>
    <col min="8985" max="8985" width="10.140625" style="267" customWidth="1"/>
    <col min="8986" max="8986" width="21.140625" style="267" customWidth="1"/>
    <col min="8987" max="8987" width="12.85546875" style="267" customWidth="1"/>
    <col min="8988" max="8988" width="19.5703125" style="267" customWidth="1"/>
    <col min="8989" max="8989" width="4.140625" style="267" customWidth="1"/>
    <col min="8990" max="8990" width="6.42578125" style="267" customWidth="1"/>
    <col min="8991" max="9216" width="9.140625" style="267"/>
    <col min="9217" max="9217" width="7.5703125" style="267" customWidth="1"/>
    <col min="9218" max="9218" width="35" style="267" customWidth="1"/>
    <col min="9219" max="9219" width="15.28515625" style="267" customWidth="1"/>
    <col min="9220" max="9220" width="20.28515625" style="267" customWidth="1"/>
    <col min="9221" max="9221" width="10.140625" style="267" customWidth="1"/>
    <col min="9222" max="9222" width="14.42578125" style="267" customWidth="1"/>
    <col min="9223" max="9223" width="8.5703125" style="267" customWidth="1"/>
    <col min="9224" max="9224" width="17.28515625" style="267" customWidth="1"/>
    <col min="9225" max="9225" width="8.7109375" style="267" customWidth="1"/>
    <col min="9226" max="9226" width="16.7109375" style="267" customWidth="1"/>
    <col min="9227" max="9227" width="10.28515625" style="267" customWidth="1"/>
    <col min="9228" max="9228" width="17.7109375" style="267" customWidth="1"/>
    <col min="9229" max="9229" width="10.140625" style="267" customWidth="1"/>
    <col min="9230" max="9230" width="19.28515625" style="267" customWidth="1"/>
    <col min="9231" max="9231" width="10.42578125" style="267" customWidth="1"/>
    <col min="9232" max="9232" width="17.42578125" style="267" customWidth="1"/>
    <col min="9233" max="9233" width="10.140625" style="267" customWidth="1"/>
    <col min="9234" max="9234" width="20.85546875" style="267" customWidth="1"/>
    <col min="9235" max="9235" width="10.7109375" style="267" customWidth="1"/>
    <col min="9236" max="9236" width="21.42578125" style="267" customWidth="1"/>
    <col min="9237" max="9237" width="12" style="267" customWidth="1"/>
    <col min="9238" max="9238" width="19.7109375" style="267" customWidth="1"/>
    <col min="9239" max="9239" width="10.140625" style="267" customWidth="1"/>
    <col min="9240" max="9240" width="19.7109375" style="267" customWidth="1"/>
    <col min="9241" max="9241" width="10.140625" style="267" customWidth="1"/>
    <col min="9242" max="9242" width="21.140625" style="267" customWidth="1"/>
    <col min="9243" max="9243" width="12.85546875" style="267" customWidth="1"/>
    <col min="9244" max="9244" width="19.5703125" style="267" customWidth="1"/>
    <col min="9245" max="9245" width="4.140625" style="267" customWidth="1"/>
    <col min="9246" max="9246" width="6.42578125" style="267" customWidth="1"/>
    <col min="9247" max="9472" width="9.140625" style="267"/>
    <col min="9473" max="9473" width="7.5703125" style="267" customWidth="1"/>
    <col min="9474" max="9474" width="35" style="267" customWidth="1"/>
    <col min="9475" max="9475" width="15.28515625" style="267" customWidth="1"/>
    <col min="9476" max="9476" width="20.28515625" style="267" customWidth="1"/>
    <col min="9477" max="9477" width="10.140625" style="267" customWidth="1"/>
    <col min="9478" max="9478" width="14.42578125" style="267" customWidth="1"/>
    <col min="9479" max="9479" width="8.5703125" style="267" customWidth="1"/>
    <col min="9480" max="9480" width="17.28515625" style="267" customWidth="1"/>
    <col min="9481" max="9481" width="8.7109375" style="267" customWidth="1"/>
    <col min="9482" max="9482" width="16.7109375" style="267" customWidth="1"/>
    <col min="9483" max="9483" width="10.28515625" style="267" customWidth="1"/>
    <col min="9484" max="9484" width="17.7109375" style="267" customWidth="1"/>
    <col min="9485" max="9485" width="10.140625" style="267" customWidth="1"/>
    <col min="9486" max="9486" width="19.28515625" style="267" customWidth="1"/>
    <col min="9487" max="9487" width="10.42578125" style="267" customWidth="1"/>
    <col min="9488" max="9488" width="17.42578125" style="267" customWidth="1"/>
    <col min="9489" max="9489" width="10.140625" style="267" customWidth="1"/>
    <col min="9490" max="9490" width="20.85546875" style="267" customWidth="1"/>
    <col min="9491" max="9491" width="10.7109375" style="267" customWidth="1"/>
    <col min="9492" max="9492" width="21.42578125" style="267" customWidth="1"/>
    <col min="9493" max="9493" width="12" style="267" customWidth="1"/>
    <col min="9494" max="9494" width="19.7109375" style="267" customWidth="1"/>
    <col min="9495" max="9495" width="10.140625" style="267" customWidth="1"/>
    <col min="9496" max="9496" width="19.7109375" style="267" customWidth="1"/>
    <col min="9497" max="9497" width="10.140625" style="267" customWidth="1"/>
    <col min="9498" max="9498" width="21.140625" style="267" customWidth="1"/>
    <col min="9499" max="9499" width="12.85546875" style="267" customWidth="1"/>
    <col min="9500" max="9500" width="19.5703125" style="267" customWidth="1"/>
    <col min="9501" max="9501" width="4.140625" style="267" customWidth="1"/>
    <col min="9502" max="9502" width="6.42578125" style="267" customWidth="1"/>
    <col min="9503" max="9728" width="9.140625" style="267"/>
    <col min="9729" max="9729" width="7.5703125" style="267" customWidth="1"/>
    <col min="9730" max="9730" width="35" style="267" customWidth="1"/>
    <col min="9731" max="9731" width="15.28515625" style="267" customWidth="1"/>
    <col min="9732" max="9732" width="20.28515625" style="267" customWidth="1"/>
    <col min="9733" max="9733" width="10.140625" style="267" customWidth="1"/>
    <col min="9734" max="9734" width="14.42578125" style="267" customWidth="1"/>
    <col min="9735" max="9735" width="8.5703125" style="267" customWidth="1"/>
    <col min="9736" max="9736" width="17.28515625" style="267" customWidth="1"/>
    <col min="9737" max="9737" width="8.7109375" style="267" customWidth="1"/>
    <col min="9738" max="9738" width="16.7109375" style="267" customWidth="1"/>
    <col min="9739" max="9739" width="10.28515625" style="267" customWidth="1"/>
    <col min="9740" max="9740" width="17.7109375" style="267" customWidth="1"/>
    <col min="9741" max="9741" width="10.140625" style="267" customWidth="1"/>
    <col min="9742" max="9742" width="19.28515625" style="267" customWidth="1"/>
    <col min="9743" max="9743" width="10.42578125" style="267" customWidth="1"/>
    <col min="9744" max="9744" width="17.42578125" style="267" customWidth="1"/>
    <col min="9745" max="9745" width="10.140625" style="267" customWidth="1"/>
    <col min="9746" max="9746" width="20.85546875" style="267" customWidth="1"/>
    <col min="9747" max="9747" width="10.7109375" style="267" customWidth="1"/>
    <col min="9748" max="9748" width="21.42578125" style="267" customWidth="1"/>
    <col min="9749" max="9749" width="12" style="267" customWidth="1"/>
    <col min="9750" max="9750" width="19.7109375" style="267" customWidth="1"/>
    <col min="9751" max="9751" width="10.140625" style="267" customWidth="1"/>
    <col min="9752" max="9752" width="19.7109375" style="267" customWidth="1"/>
    <col min="9753" max="9753" width="10.140625" style="267" customWidth="1"/>
    <col min="9754" max="9754" width="21.140625" style="267" customWidth="1"/>
    <col min="9755" max="9755" width="12.85546875" style="267" customWidth="1"/>
    <col min="9756" max="9756" width="19.5703125" style="267" customWidth="1"/>
    <col min="9757" max="9757" width="4.140625" style="267" customWidth="1"/>
    <col min="9758" max="9758" width="6.42578125" style="267" customWidth="1"/>
    <col min="9759" max="9984" width="9.140625" style="267"/>
    <col min="9985" max="9985" width="7.5703125" style="267" customWidth="1"/>
    <col min="9986" max="9986" width="35" style="267" customWidth="1"/>
    <col min="9987" max="9987" width="15.28515625" style="267" customWidth="1"/>
    <col min="9988" max="9988" width="20.28515625" style="267" customWidth="1"/>
    <col min="9989" max="9989" width="10.140625" style="267" customWidth="1"/>
    <col min="9990" max="9990" width="14.42578125" style="267" customWidth="1"/>
    <col min="9991" max="9991" width="8.5703125" style="267" customWidth="1"/>
    <col min="9992" max="9992" width="17.28515625" style="267" customWidth="1"/>
    <col min="9993" max="9993" width="8.7109375" style="267" customWidth="1"/>
    <col min="9994" max="9994" width="16.7109375" style="267" customWidth="1"/>
    <col min="9995" max="9995" width="10.28515625" style="267" customWidth="1"/>
    <col min="9996" max="9996" width="17.7109375" style="267" customWidth="1"/>
    <col min="9997" max="9997" width="10.140625" style="267" customWidth="1"/>
    <col min="9998" max="9998" width="19.28515625" style="267" customWidth="1"/>
    <col min="9999" max="9999" width="10.42578125" style="267" customWidth="1"/>
    <col min="10000" max="10000" width="17.42578125" style="267" customWidth="1"/>
    <col min="10001" max="10001" width="10.140625" style="267" customWidth="1"/>
    <col min="10002" max="10002" width="20.85546875" style="267" customWidth="1"/>
    <col min="10003" max="10003" width="10.7109375" style="267" customWidth="1"/>
    <col min="10004" max="10004" width="21.42578125" style="267" customWidth="1"/>
    <col min="10005" max="10005" width="12" style="267" customWidth="1"/>
    <col min="10006" max="10006" width="19.7109375" style="267" customWidth="1"/>
    <col min="10007" max="10007" width="10.140625" style="267" customWidth="1"/>
    <col min="10008" max="10008" width="19.7109375" style="267" customWidth="1"/>
    <col min="10009" max="10009" width="10.140625" style="267" customWidth="1"/>
    <col min="10010" max="10010" width="21.140625" style="267" customWidth="1"/>
    <col min="10011" max="10011" width="12.85546875" style="267" customWidth="1"/>
    <col min="10012" max="10012" width="19.5703125" style="267" customWidth="1"/>
    <col min="10013" max="10013" width="4.140625" style="267" customWidth="1"/>
    <col min="10014" max="10014" width="6.42578125" style="267" customWidth="1"/>
    <col min="10015" max="10240" width="9.140625" style="267"/>
    <col min="10241" max="10241" width="7.5703125" style="267" customWidth="1"/>
    <col min="10242" max="10242" width="35" style="267" customWidth="1"/>
    <col min="10243" max="10243" width="15.28515625" style="267" customWidth="1"/>
    <col min="10244" max="10244" width="20.28515625" style="267" customWidth="1"/>
    <col min="10245" max="10245" width="10.140625" style="267" customWidth="1"/>
    <col min="10246" max="10246" width="14.42578125" style="267" customWidth="1"/>
    <col min="10247" max="10247" width="8.5703125" style="267" customWidth="1"/>
    <col min="10248" max="10248" width="17.28515625" style="267" customWidth="1"/>
    <col min="10249" max="10249" width="8.7109375" style="267" customWidth="1"/>
    <col min="10250" max="10250" width="16.7109375" style="267" customWidth="1"/>
    <col min="10251" max="10251" width="10.28515625" style="267" customWidth="1"/>
    <col min="10252" max="10252" width="17.7109375" style="267" customWidth="1"/>
    <col min="10253" max="10253" width="10.140625" style="267" customWidth="1"/>
    <col min="10254" max="10254" width="19.28515625" style="267" customWidth="1"/>
    <col min="10255" max="10255" width="10.42578125" style="267" customWidth="1"/>
    <col min="10256" max="10256" width="17.42578125" style="267" customWidth="1"/>
    <col min="10257" max="10257" width="10.140625" style="267" customWidth="1"/>
    <col min="10258" max="10258" width="20.85546875" style="267" customWidth="1"/>
    <col min="10259" max="10259" width="10.7109375" style="267" customWidth="1"/>
    <col min="10260" max="10260" width="21.42578125" style="267" customWidth="1"/>
    <col min="10261" max="10261" width="12" style="267" customWidth="1"/>
    <col min="10262" max="10262" width="19.7109375" style="267" customWidth="1"/>
    <col min="10263" max="10263" width="10.140625" style="267" customWidth="1"/>
    <col min="10264" max="10264" width="19.7109375" style="267" customWidth="1"/>
    <col min="10265" max="10265" width="10.140625" style="267" customWidth="1"/>
    <col min="10266" max="10266" width="21.140625" style="267" customWidth="1"/>
    <col min="10267" max="10267" width="12.85546875" style="267" customWidth="1"/>
    <col min="10268" max="10268" width="19.5703125" style="267" customWidth="1"/>
    <col min="10269" max="10269" width="4.140625" style="267" customWidth="1"/>
    <col min="10270" max="10270" width="6.42578125" style="267" customWidth="1"/>
    <col min="10271" max="10496" width="9.140625" style="267"/>
    <col min="10497" max="10497" width="7.5703125" style="267" customWidth="1"/>
    <col min="10498" max="10498" width="35" style="267" customWidth="1"/>
    <col min="10499" max="10499" width="15.28515625" style="267" customWidth="1"/>
    <col min="10500" max="10500" width="20.28515625" style="267" customWidth="1"/>
    <col min="10501" max="10501" width="10.140625" style="267" customWidth="1"/>
    <col min="10502" max="10502" width="14.42578125" style="267" customWidth="1"/>
    <col min="10503" max="10503" width="8.5703125" style="267" customWidth="1"/>
    <col min="10504" max="10504" width="17.28515625" style="267" customWidth="1"/>
    <col min="10505" max="10505" width="8.7109375" style="267" customWidth="1"/>
    <col min="10506" max="10506" width="16.7109375" style="267" customWidth="1"/>
    <col min="10507" max="10507" width="10.28515625" style="267" customWidth="1"/>
    <col min="10508" max="10508" width="17.7109375" style="267" customWidth="1"/>
    <col min="10509" max="10509" width="10.140625" style="267" customWidth="1"/>
    <col min="10510" max="10510" width="19.28515625" style="267" customWidth="1"/>
    <col min="10511" max="10511" width="10.42578125" style="267" customWidth="1"/>
    <col min="10512" max="10512" width="17.42578125" style="267" customWidth="1"/>
    <col min="10513" max="10513" width="10.140625" style="267" customWidth="1"/>
    <col min="10514" max="10514" width="20.85546875" style="267" customWidth="1"/>
    <col min="10515" max="10515" width="10.7109375" style="267" customWidth="1"/>
    <col min="10516" max="10516" width="21.42578125" style="267" customWidth="1"/>
    <col min="10517" max="10517" width="12" style="267" customWidth="1"/>
    <col min="10518" max="10518" width="19.7109375" style="267" customWidth="1"/>
    <col min="10519" max="10519" width="10.140625" style="267" customWidth="1"/>
    <col min="10520" max="10520" width="19.7109375" style="267" customWidth="1"/>
    <col min="10521" max="10521" width="10.140625" style="267" customWidth="1"/>
    <col min="10522" max="10522" width="21.140625" style="267" customWidth="1"/>
    <col min="10523" max="10523" width="12.85546875" style="267" customWidth="1"/>
    <col min="10524" max="10524" width="19.5703125" style="267" customWidth="1"/>
    <col min="10525" max="10525" width="4.140625" style="267" customWidth="1"/>
    <col min="10526" max="10526" width="6.42578125" style="267" customWidth="1"/>
    <col min="10527" max="10752" width="9.140625" style="267"/>
    <col min="10753" max="10753" width="7.5703125" style="267" customWidth="1"/>
    <col min="10754" max="10754" width="35" style="267" customWidth="1"/>
    <col min="10755" max="10755" width="15.28515625" style="267" customWidth="1"/>
    <col min="10756" max="10756" width="20.28515625" style="267" customWidth="1"/>
    <col min="10757" max="10757" width="10.140625" style="267" customWidth="1"/>
    <col min="10758" max="10758" width="14.42578125" style="267" customWidth="1"/>
    <col min="10759" max="10759" width="8.5703125" style="267" customWidth="1"/>
    <col min="10760" max="10760" width="17.28515625" style="267" customWidth="1"/>
    <col min="10761" max="10761" width="8.7109375" style="267" customWidth="1"/>
    <col min="10762" max="10762" width="16.7109375" style="267" customWidth="1"/>
    <col min="10763" max="10763" width="10.28515625" style="267" customWidth="1"/>
    <col min="10764" max="10764" width="17.7109375" style="267" customWidth="1"/>
    <col min="10765" max="10765" width="10.140625" style="267" customWidth="1"/>
    <col min="10766" max="10766" width="19.28515625" style="267" customWidth="1"/>
    <col min="10767" max="10767" width="10.42578125" style="267" customWidth="1"/>
    <col min="10768" max="10768" width="17.42578125" style="267" customWidth="1"/>
    <col min="10769" max="10769" width="10.140625" style="267" customWidth="1"/>
    <col min="10770" max="10770" width="20.85546875" style="267" customWidth="1"/>
    <col min="10771" max="10771" width="10.7109375" style="267" customWidth="1"/>
    <col min="10772" max="10772" width="21.42578125" style="267" customWidth="1"/>
    <col min="10773" max="10773" width="12" style="267" customWidth="1"/>
    <col min="10774" max="10774" width="19.7109375" style="267" customWidth="1"/>
    <col min="10775" max="10775" width="10.140625" style="267" customWidth="1"/>
    <col min="10776" max="10776" width="19.7109375" style="267" customWidth="1"/>
    <col min="10777" max="10777" width="10.140625" style="267" customWidth="1"/>
    <col min="10778" max="10778" width="21.140625" style="267" customWidth="1"/>
    <col min="10779" max="10779" width="12.85546875" style="267" customWidth="1"/>
    <col min="10780" max="10780" width="19.5703125" style="267" customWidth="1"/>
    <col min="10781" max="10781" width="4.140625" style="267" customWidth="1"/>
    <col min="10782" max="10782" width="6.42578125" style="267" customWidth="1"/>
    <col min="10783" max="11008" width="9.140625" style="267"/>
    <col min="11009" max="11009" width="7.5703125" style="267" customWidth="1"/>
    <col min="11010" max="11010" width="35" style="267" customWidth="1"/>
    <col min="11011" max="11011" width="15.28515625" style="267" customWidth="1"/>
    <col min="11012" max="11012" width="20.28515625" style="267" customWidth="1"/>
    <col min="11013" max="11013" width="10.140625" style="267" customWidth="1"/>
    <col min="11014" max="11014" width="14.42578125" style="267" customWidth="1"/>
    <col min="11015" max="11015" width="8.5703125" style="267" customWidth="1"/>
    <col min="11016" max="11016" width="17.28515625" style="267" customWidth="1"/>
    <col min="11017" max="11017" width="8.7109375" style="267" customWidth="1"/>
    <col min="11018" max="11018" width="16.7109375" style="267" customWidth="1"/>
    <col min="11019" max="11019" width="10.28515625" style="267" customWidth="1"/>
    <col min="11020" max="11020" width="17.7109375" style="267" customWidth="1"/>
    <col min="11021" max="11021" width="10.140625" style="267" customWidth="1"/>
    <col min="11022" max="11022" width="19.28515625" style="267" customWidth="1"/>
    <col min="11023" max="11023" width="10.42578125" style="267" customWidth="1"/>
    <col min="11024" max="11024" width="17.42578125" style="267" customWidth="1"/>
    <col min="11025" max="11025" width="10.140625" style="267" customWidth="1"/>
    <col min="11026" max="11026" width="20.85546875" style="267" customWidth="1"/>
    <col min="11027" max="11027" width="10.7109375" style="267" customWidth="1"/>
    <col min="11028" max="11028" width="21.42578125" style="267" customWidth="1"/>
    <col min="11029" max="11029" width="12" style="267" customWidth="1"/>
    <col min="11030" max="11030" width="19.7109375" style="267" customWidth="1"/>
    <col min="11031" max="11031" width="10.140625" style="267" customWidth="1"/>
    <col min="11032" max="11032" width="19.7109375" style="267" customWidth="1"/>
    <col min="11033" max="11033" width="10.140625" style="267" customWidth="1"/>
    <col min="11034" max="11034" width="21.140625" style="267" customWidth="1"/>
    <col min="11035" max="11035" width="12.85546875" style="267" customWidth="1"/>
    <col min="11036" max="11036" width="19.5703125" style="267" customWidth="1"/>
    <col min="11037" max="11037" width="4.140625" style="267" customWidth="1"/>
    <col min="11038" max="11038" width="6.42578125" style="267" customWidth="1"/>
    <col min="11039" max="11264" width="9.140625" style="267"/>
    <col min="11265" max="11265" width="7.5703125" style="267" customWidth="1"/>
    <col min="11266" max="11266" width="35" style="267" customWidth="1"/>
    <col min="11267" max="11267" width="15.28515625" style="267" customWidth="1"/>
    <col min="11268" max="11268" width="20.28515625" style="267" customWidth="1"/>
    <col min="11269" max="11269" width="10.140625" style="267" customWidth="1"/>
    <col min="11270" max="11270" width="14.42578125" style="267" customWidth="1"/>
    <col min="11271" max="11271" width="8.5703125" style="267" customWidth="1"/>
    <col min="11272" max="11272" width="17.28515625" style="267" customWidth="1"/>
    <col min="11273" max="11273" width="8.7109375" style="267" customWidth="1"/>
    <col min="11274" max="11274" width="16.7109375" style="267" customWidth="1"/>
    <col min="11275" max="11275" width="10.28515625" style="267" customWidth="1"/>
    <col min="11276" max="11276" width="17.7109375" style="267" customWidth="1"/>
    <col min="11277" max="11277" width="10.140625" style="267" customWidth="1"/>
    <col min="11278" max="11278" width="19.28515625" style="267" customWidth="1"/>
    <col min="11279" max="11279" width="10.42578125" style="267" customWidth="1"/>
    <col min="11280" max="11280" width="17.42578125" style="267" customWidth="1"/>
    <col min="11281" max="11281" width="10.140625" style="267" customWidth="1"/>
    <col min="11282" max="11282" width="20.85546875" style="267" customWidth="1"/>
    <col min="11283" max="11283" width="10.7109375" style="267" customWidth="1"/>
    <col min="11284" max="11284" width="21.42578125" style="267" customWidth="1"/>
    <col min="11285" max="11285" width="12" style="267" customWidth="1"/>
    <col min="11286" max="11286" width="19.7109375" style="267" customWidth="1"/>
    <col min="11287" max="11287" width="10.140625" style="267" customWidth="1"/>
    <col min="11288" max="11288" width="19.7109375" style="267" customWidth="1"/>
    <col min="11289" max="11289" width="10.140625" style="267" customWidth="1"/>
    <col min="11290" max="11290" width="21.140625" style="267" customWidth="1"/>
    <col min="11291" max="11291" width="12.85546875" style="267" customWidth="1"/>
    <col min="11292" max="11292" width="19.5703125" style="267" customWidth="1"/>
    <col min="11293" max="11293" width="4.140625" style="267" customWidth="1"/>
    <col min="11294" max="11294" width="6.42578125" style="267" customWidth="1"/>
    <col min="11295" max="11520" width="9.140625" style="267"/>
    <col min="11521" max="11521" width="7.5703125" style="267" customWidth="1"/>
    <col min="11522" max="11522" width="35" style="267" customWidth="1"/>
    <col min="11523" max="11523" width="15.28515625" style="267" customWidth="1"/>
    <col min="11524" max="11524" width="20.28515625" style="267" customWidth="1"/>
    <col min="11525" max="11525" width="10.140625" style="267" customWidth="1"/>
    <col min="11526" max="11526" width="14.42578125" style="267" customWidth="1"/>
    <col min="11527" max="11527" width="8.5703125" style="267" customWidth="1"/>
    <col min="11528" max="11528" width="17.28515625" style="267" customWidth="1"/>
    <col min="11529" max="11529" width="8.7109375" style="267" customWidth="1"/>
    <col min="11530" max="11530" width="16.7109375" style="267" customWidth="1"/>
    <col min="11531" max="11531" width="10.28515625" style="267" customWidth="1"/>
    <col min="11532" max="11532" width="17.7109375" style="267" customWidth="1"/>
    <col min="11533" max="11533" width="10.140625" style="267" customWidth="1"/>
    <col min="11534" max="11534" width="19.28515625" style="267" customWidth="1"/>
    <col min="11535" max="11535" width="10.42578125" style="267" customWidth="1"/>
    <col min="11536" max="11536" width="17.42578125" style="267" customWidth="1"/>
    <col min="11537" max="11537" width="10.140625" style="267" customWidth="1"/>
    <col min="11538" max="11538" width="20.85546875" style="267" customWidth="1"/>
    <col min="11539" max="11539" width="10.7109375" style="267" customWidth="1"/>
    <col min="11540" max="11540" width="21.42578125" style="267" customWidth="1"/>
    <col min="11541" max="11541" width="12" style="267" customWidth="1"/>
    <col min="11542" max="11542" width="19.7109375" style="267" customWidth="1"/>
    <col min="11543" max="11543" width="10.140625" style="267" customWidth="1"/>
    <col min="11544" max="11544" width="19.7109375" style="267" customWidth="1"/>
    <col min="11545" max="11545" width="10.140625" style="267" customWidth="1"/>
    <col min="11546" max="11546" width="21.140625" style="267" customWidth="1"/>
    <col min="11547" max="11547" width="12.85546875" style="267" customWidth="1"/>
    <col min="11548" max="11548" width="19.5703125" style="267" customWidth="1"/>
    <col min="11549" max="11549" width="4.140625" style="267" customWidth="1"/>
    <col min="11550" max="11550" width="6.42578125" style="267" customWidth="1"/>
    <col min="11551" max="11776" width="9.140625" style="267"/>
    <col min="11777" max="11777" width="7.5703125" style="267" customWidth="1"/>
    <col min="11778" max="11778" width="35" style="267" customWidth="1"/>
    <col min="11779" max="11779" width="15.28515625" style="267" customWidth="1"/>
    <col min="11780" max="11780" width="20.28515625" style="267" customWidth="1"/>
    <col min="11781" max="11781" width="10.140625" style="267" customWidth="1"/>
    <col min="11782" max="11782" width="14.42578125" style="267" customWidth="1"/>
    <col min="11783" max="11783" width="8.5703125" style="267" customWidth="1"/>
    <col min="11784" max="11784" width="17.28515625" style="267" customWidth="1"/>
    <col min="11785" max="11785" width="8.7109375" style="267" customWidth="1"/>
    <col min="11786" max="11786" width="16.7109375" style="267" customWidth="1"/>
    <col min="11787" max="11787" width="10.28515625" style="267" customWidth="1"/>
    <col min="11788" max="11788" width="17.7109375" style="267" customWidth="1"/>
    <col min="11789" max="11789" width="10.140625" style="267" customWidth="1"/>
    <col min="11790" max="11790" width="19.28515625" style="267" customWidth="1"/>
    <col min="11791" max="11791" width="10.42578125" style="267" customWidth="1"/>
    <col min="11792" max="11792" width="17.42578125" style="267" customWidth="1"/>
    <col min="11793" max="11793" width="10.140625" style="267" customWidth="1"/>
    <col min="11794" max="11794" width="20.85546875" style="267" customWidth="1"/>
    <col min="11795" max="11795" width="10.7109375" style="267" customWidth="1"/>
    <col min="11796" max="11796" width="21.42578125" style="267" customWidth="1"/>
    <col min="11797" max="11797" width="12" style="267" customWidth="1"/>
    <col min="11798" max="11798" width="19.7109375" style="267" customWidth="1"/>
    <col min="11799" max="11799" width="10.140625" style="267" customWidth="1"/>
    <col min="11800" max="11800" width="19.7109375" style="267" customWidth="1"/>
    <col min="11801" max="11801" width="10.140625" style="267" customWidth="1"/>
    <col min="11802" max="11802" width="21.140625" style="267" customWidth="1"/>
    <col min="11803" max="11803" width="12.85546875" style="267" customWidth="1"/>
    <col min="11804" max="11804" width="19.5703125" style="267" customWidth="1"/>
    <col min="11805" max="11805" width="4.140625" style="267" customWidth="1"/>
    <col min="11806" max="11806" width="6.42578125" style="267" customWidth="1"/>
    <col min="11807" max="12032" width="9.140625" style="267"/>
    <col min="12033" max="12033" width="7.5703125" style="267" customWidth="1"/>
    <col min="12034" max="12034" width="35" style="267" customWidth="1"/>
    <col min="12035" max="12035" width="15.28515625" style="267" customWidth="1"/>
    <col min="12036" max="12036" width="20.28515625" style="267" customWidth="1"/>
    <col min="12037" max="12037" width="10.140625" style="267" customWidth="1"/>
    <col min="12038" max="12038" width="14.42578125" style="267" customWidth="1"/>
    <col min="12039" max="12039" width="8.5703125" style="267" customWidth="1"/>
    <col min="12040" max="12040" width="17.28515625" style="267" customWidth="1"/>
    <col min="12041" max="12041" width="8.7109375" style="267" customWidth="1"/>
    <col min="12042" max="12042" width="16.7109375" style="267" customWidth="1"/>
    <col min="12043" max="12043" width="10.28515625" style="267" customWidth="1"/>
    <col min="12044" max="12044" width="17.7109375" style="267" customWidth="1"/>
    <col min="12045" max="12045" width="10.140625" style="267" customWidth="1"/>
    <col min="12046" max="12046" width="19.28515625" style="267" customWidth="1"/>
    <col min="12047" max="12047" width="10.42578125" style="267" customWidth="1"/>
    <col min="12048" max="12048" width="17.42578125" style="267" customWidth="1"/>
    <col min="12049" max="12049" width="10.140625" style="267" customWidth="1"/>
    <col min="12050" max="12050" width="20.85546875" style="267" customWidth="1"/>
    <col min="12051" max="12051" width="10.7109375" style="267" customWidth="1"/>
    <col min="12052" max="12052" width="21.42578125" style="267" customWidth="1"/>
    <col min="12053" max="12053" width="12" style="267" customWidth="1"/>
    <col min="12054" max="12054" width="19.7109375" style="267" customWidth="1"/>
    <col min="12055" max="12055" width="10.140625" style="267" customWidth="1"/>
    <col min="12056" max="12056" width="19.7109375" style="267" customWidth="1"/>
    <col min="12057" max="12057" width="10.140625" style="267" customWidth="1"/>
    <col min="12058" max="12058" width="21.140625" style="267" customWidth="1"/>
    <col min="12059" max="12059" width="12.85546875" style="267" customWidth="1"/>
    <col min="12060" max="12060" width="19.5703125" style="267" customWidth="1"/>
    <col min="12061" max="12061" width="4.140625" style="267" customWidth="1"/>
    <col min="12062" max="12062" width="6.42578125" style="267" customWidth="1"/>
    <col min="12063" max="12288" width="9.140625" style="267"/>
    <col min="12289" max="12289" width="7.5703125" style="267" customWidth="1"/>
    <col min="12290" max="12290" width="35" style="267" customWidth="1"/>
    <col min="12291" max="12291" width="15.28515625" style="267" customWidth="1"/>
    <col min="12292" max="12292" width="20.28515625" style="267" customWidth="1"/>
    <col min="12293" max="12293" width="10.140625" style="267" customWidth="1"/>
    <col min="12294" max="12294" width="14.42578125" style="267" customWidth="1"/>
    <col min="12295" max="12295" width="8.5703125" style="267" customWidth="1"/>
    <col min="12296" max="12296" width="17.28515625" style="267" customWidth="1"/>
    <col min="12297" max="12297" width="8.7109375" style="267" customWidth="1"/>
    <col min="12298" max="12298" width="16.7109375" style="267" customWidth="1"/>
    <col min="12299" max="12299" width="10.28515625" style="267" customWidth="1"/>
    <col min="12300" max="12300" width="17.7109375" style="267" customWidth="1"/>
    <col min="12301" max="12301" width="10.140625" style="267" customWidth="1"/>
    <col min="12302" max="12302" width="19.28515625" style="267" customWidth="1"/>
    <col min="12303" max="12303" width="10.42578125" style="267" customWidth="1"/>
    <col min="12304" max="12304" width="17.42578125" style="267" customWidth="1"/>
    <col min="12305" max="12305" width="10.140625" style="267" customWidth="1"/>
    <col min="12306" max="12306" width="20.85546875" style="267" customWidth="1"/>
    <col min="12307" max="12307" width="10.7109375" style="267" customWidth="1"/>
    <col min="12308" max="12308" width="21.42578125" style="267" customWidth="1"/>
    <col min="12309" max="12309" width="12" style="267" customWidth="1"/>
    <col min="12310" max="12310" width="19.7109375" style="267" customWidth="1"/>
    <col min="12311" max="12311" width="10.140625" style="267" customWidth="1"/>
    <col min="12312" max="12312" width="19.7109375" style="267" customWidth="1"/>
    <col min="12313" max="12313" width="10.140625" style="267" customWidth="1"/>
    <col min="12314" max="12314" width="21.140625" style="267" customWidth="1"/>
    <col min="12315" max="12315" width="12.85546875" style="267" customWidth="1"/>
    <col min="12316" max="12316" width="19.5703125" style="267" customWidth="1"/>
    <col min="12317" max="12317" width="4.140625" style="267" customWidth="1"/>
    <col min="12318" max="12318" width="6.42578125" style="267" customWidth="1"/>
    <col min="12319" max="12544" width="9.140625" style="267"/>
    <col min="12545" max="12545" width="7.5703125" style="267" customWidth="1"/>
    <col min="12546" max="12546" width="35" style="267" customWidth="1"/>
    <col min="12547" max="12547" width="15.28515625" style="267" customWidth="1"/>
    <col min="12548" max="12548" width="20.28515625" style="267" customWidth="1"/>
    <col min="12549" max="12549" width="10.140625" style="267" customWidth="1"/>
    <col min="12550" max="12550" width="14.42578125" style="267" customWidth="1"/>
    <col min="12551" max="12551" width="8.5703125" style="267" customWidth="1"/>
    <col min="12552" max="12552" width="17.28515625" style="267" customWidth="1"/>
    <col min="12553" max="12553" width="8.7109375" style="267" customWidth="1"/>
    <col min="12554" max="12554" width="16.7109375" style="267" customWidth="1"/>
    <col min="12555" max="12555" width="10.28515625" style="267" customWidth="1"/>
    <col min="12556" max="12556" width="17.7109375" style="267" customWidth="1"/>
    <col min="12557" max="12557" width="10.140625" style="267" customWidth="1"/>
    <col min="12558" max="12558" width="19.28515625" style="267" customWidth="1"/>
    <col min="12559" max="12559" width="10.42578125" style="267" customWidth="1"/>
    <col min="12560" max="12560" width="17.42578125" style="267" customWidth="1"/>
    <col min="12561" max="12561" width="10.140625" style="267" customWidth="1"/>
    <col min="12562" max="12562" width="20.85546875" style="267" customWidth="1"/>
    <col min="12563" max="12563" width="10.7109375" style="267" customWidth="1"/>
    <col min="12564" max="12564" width="21.42578125" style="267" customWidth="1"/>
    <col min="12565" max="12565" width="12" style="267" customWidth="1"/>
    <col min="12566" max="12566" width="19.7109375" style="267" customWidth="1"/>
    <col min="12567" max="12567" width="10.140625" style="267" customWidth="1"/>
    <col min="12568" max="12568" width="19.7109375" style="267" customWidth="1"/>
    <col min="12569" max="12569" width="10.140625" style="267" customWidth="1"/>
    <col min="12570" max="12570" width="21.140625" style="267" customWidth="1"/>
    <col min="12571" max="12571" width="12.85546875" style="267" customWidth="1"/>
    <col min="12572" max="12572" width="19.5703125" style="267" customWidth="1"/>
    <col min="12573" max="12573" width="4.140625" style="267" customWidth="1"/>
    <col min="12574" max="12574" width="6.42578125" style="267" customWidth="1"/>
    <col min="12575" max="12800" width="9.140625" style="267"/>
    <col min="12801" max="12801" width="7.5703125" style="267" customWidth="1"/>
    <col min="12802" max="12802" width="35" style="267" customWidth="1"/>
    <col min="12803" max="12803" width="15.28515625" style="267" customWidth="1"/>
    <col min="12804" max="12804" width="20.28515625" style="267" customWidth="1"/>
    <col min="12805" max="12805" width="10.140625" style="267" customWidth="1"/>
    <col min="12806" max="12806" width="14.42578125" style="267" customWidth="1"/>
    <col min="12807" max="12807" width="8.5703125" style="267" customWidth="1"/>
    <col min="12808" max="12808" width="17.28515625" style="267" customWidth="1"/>
    <col min="12809" max="12809" width="8.7109375" style="267" customWidth="1"/>
    <col min="12810" max="12810" width="16.7109375" style="267" customWidth="1"/>
    <col min="12811" max="12811" width="10.28515625" style="267" customWidth="1"/>
    <col min="12812" max="12812" width="17.7109375" style="267" customWidth="1"/>
    <col min="12813" max="12813" width="10.140625" style="267" customWidth="1"/>
    <col min="12814" max="12814" width="19.28515625" style="267" customWidth="1"/>
    <col min="12815" max="12815" width="10.42578125" style="267" customWidth="1"/>
    <col min="12816" max="12816" width="17.42578125" style="267" customWidth="1"/>
    <col min="12817" max="12817" width="10.140625" style="267" customWidth="1"/>
    <col min="12818" max="12818" width="20.85546875" style="267" customWidth="1"/>
    <col min="12819" max="12819" width="10.7109375" style="267" customWidth="1"/>
    <col min="12820" max="12820" width="21.42578125" style="267" customWidth="1"/>
    <col min="12821" max="12821" width="12" style="267" customWidth="1"/>
    <col min="12822" max="12822" width="19.7109375" style="267" customWidth="1"/>
    <col min="12823" max="12823" width="10.140625" style="267" customWidth="1"/>
    <col min="12824" max="12824" width="19.7109375" style="267" customWidth="1"/>
    <col min="12825" max="12825" width="10.140625" style="267" customWidth="1"/>
    <col min="12826" max="12826" width="21.140625" style="267" customWidth="1"/>
    <col min="12827" max="12827" width="12.85546875" style="267" customWidth="1"/>
    <col min="12828" max="12828" width="19.5703125" style="267" customWidth="1"/>
    <col min="12829" max="12829" width="4.140625" style="267" customWidth="1"/>
    <col min="12830" max="12830" width="6.42578125" style="267" customWidth="1"/>
    <col min="12831" max="13056" width="9.140625" style="267"/>
    <col min="13057" max="13057" width="7.5703125" style="267" customWidth="1"/>
    <col min="13058" max="13058" width="35" style="267" customWidth="1"/>
    <col min="13059" max="13059" width="15.28515625" style="267" customWidth="1"/>
    <col min="13060" max="13060" width="20.28515625" style="267" customWidth="1"/>
    <col min="13061" max="13061" width="10.140625" style="267" customWidth="1"/>
    <col min="13062" max="13062" width="14.42578125" style="267" customWidth="1"/>
    <col min="13063" max="13063" width="8.5703125" style="267" customWidth="1"/>
    <col min="13064" max="13064" width="17.28515625" style="267" customWidth="1"/>
    <col min="13065" max="13065" width="8.7109375" style="267" customWidth="1"/>
    <col min="13066" max="13066" width="16.7109375" style="267" customWidth="1"/>
    <col min="13067" max="13067" width="10.28515625" style="267" customWidth="1"/>
    <col min="13068" max="13068" width="17.7109375" style="267" customWidth="1"/>
    <col min="13069" max="13069" width="10.140625" style="267" customWidth="1"/>
    <col min="13070" max="13070" width="19.28515625" style="267" customWidth="1"/>
    <col min="13071" max="13071" width="10.42578125" style="267" customWidth="1"/>
    <col min="13072" max="13072" width="17.42578125" style="267" customWidth="1"/>
    <col min="13073" max="13073" width="10.140625" style="267" customWidth="1"/>
    <col min="13074" max="13074" width="20.85546875" style="267" customWidth="1"/>
    <col min="13075" max="13075" width="10.7109375" style="267" customWidth="1"/>
    <col min="13076" max="13076" width="21.42578125" style="267" customWidth="1"/>
    <col min="13077" max="13077" width="12" style="267" customWidth="1"/>
    <col min="13078" max="13078" width="19.7109375" style="267" customWidth="1"/>
    <col min="13079" max="13079" width="10.140625" style="267" customWidth="1"/>
    <col min="13080" max="13080" width="19.7109375" style="267" customWidth="1"/>
    <col min="13081" max="13081" width="10.140625" style="267" customWidth="1"/>
    <col min="13082" max="13082" width="21.140625" style="267" customWidth="1"/>
    <col min="13083" max="13083" width="12.85546875" style="267" customWidth="1"/>
    <col min="13084" max="13084" width="19.5703125" style="267" customWidth="1"/>
    <col min="13085" max="13085" width="4.140625" style="267" customWidth="1"/>
    <col min="13086" max="13086" width="6.42578125" style="267" customWidth="1"/>
    <col min="13087" max="13312" width="9.140625" style="267"/>
    <col min="13313" max="13313" width="7.5703125" style="267" customWidth="1"/>
    <col min="13314" max="13314" width="35" style="267" customWidth="1"/>
    <col min="13315" max="13315" width="15.28515625" style="267" customWidth="1"/>
    <col min="13316" max="13316" width="20.28515625" style="267" customWidth="1"/>
    <col min="13317" max="13317" width="10.140625" style="267" customWidth="1"/>
    <col min="13318" max="13318" width="14.42578125" style="267" customWidth="1"/>
    <col min="13319" max="13319" width="8.5703125" style="267" customWidth="1"/>
    <col min="13320" max="13320" width="17.28515625" style="267" customWidth="1"/>
    <col min="13321" max="13321" width="8.7109375" style="267" customWidth="1"/>
    <col min="13322" max="13322" width="16.7109375" style="267" customWidth="1"/>
    <col min="13323" max="13323" width="10.28515625" style="267" customWidth="1"/>
    <col min="13324" max="13324" width="17.7109375" style="267" customWidth="1"/>
    <col min="13325" max="13325" width="10.140625" style="267" customWidth="1"/>
    <col min="13326" max="13326" width="19.28515625" style="267" customWidth="1"/>
    <col min="13327" max="13327" width="10.42578125" style="267" customWidth="1"/>
    <col min="13328" max="13328" width="17.42578125" style="267" customWidth="1"/>
    <col min="13329" max="13329" width="10.140625" style="267" customWidth="1"/>
    <col min="13330" max="13330" width="20.85546875" style="267" customWidth="1"/>
    <col min="13331" max="13331" width="10.7109375" style="267" customWidth="1"/>
    <col min="13332" max="13332" width="21.42578125" style="267" customWidth="1"/>
    <col min="13333" max="13333" width="12" style="267" customWidth="1"/>
    <col min="13334" max="13334" width="19.7109375" style="267" customWidth="1"/>
    <col min="13335" max="13335" width="10.140625" style="267" customWidth="1"/>
    <col min="13336" max="13336" width="19.7109375" style="267" customWidth="1"/>
    <col min="13337" max="13337" width="10.140625" style="267" customWidth="1"/>
    <col min="13338" max="13338" width="21.140625" style="267" customWidth="1"/>
    <col min="13339" max="13339" width="12.85546875" style="267" customWidth="1"/>
    <col min="13340" max="13340" width="19.5703125" style="267" customWidth="1"/>
    <col min="13341" max="13341" width="4.140625" style="267" customWidth="1"/>
    <col min="13342" max="13342" width="6.42578125" style="267" customWidth="1"/>
    <col min="13343" max="13568" width="9.140625" style="267"/>
    <col min="13569" max="13569" width="7.5703125" style="267" customWidth="1"/>
    <col min="13570" max="13570" width="35" style="267" customWidth="1"/>
    <col min="13571" max="13571" width="15.28515625" style="267" customWidth="1"/>
    <col min="13572" max="13572" width="20.28515625" style="267" customWidth="1"/>
    <col min="13573" max="13573" width="10.140625" style="267" customWidth="1"/>
    <col min="13574" max="13574" width="14.42578125" style="267" customWidth="1"/>
    <col min="13575" max="13575" width="8.5703125" style="267" customWidth="1"/>
    <col min="13576" max="13576" width="17.28515625" style="267" customWidth="1"/>
    <col min="13577" max="13577" width="8.7109375" style="267" customWidth="1"/>
    <col min="13578" max="13578" width="16.7109375" style="267" customWidth="1"/>
    <col min="13579" max="13579" width="10.28515625" style="267" customWidth="1"/>
    <col min="13580" max="13580" width="17.7109375" style="267" customWidth="1"/>
    <col min="13581" max="13581" width="10.140625" style="267" customWidth="1"/>
    <col min="13582" max="13582" width="19.28515625" style="267" customWidth="1"/>
    <col min="13583" max="13583" width="10.42578125" style="267" customWidth="1"/>
    <col min="13584" max="13584" width="17.42578125" style="267" customWidth="1"/>
    <col min="13585" max="13585" width="10.140625" style="267" customWidth="1"/>
    <col min="13586" max="13586" width="20.85546875" style="267" customWidth="1"/>
    <col min="13587" max="13587" width="10.7109375" style="267" customWidth="1"/>
    <col min="13588" max="13588" width="21.42578125" style="267" customWidth="1"/>
    <col min="13589" max="13589" width="12" style="267" customWidth="1"/>
    <col min="13590" max="13590" width="19.7109375" style="267" customWidth="1"/>
    <col min="13591" max="13591" width="10.140625" style="267" customWidth="1"/>
    <col min="13592" max="13592" width="19.7109375" style="267" customWidth="1"/>
    <col min="13593" max="13593" width="10.140625" style="267" customWidth="1"/>
    <col min="13594" max="13594" width="21.140625" style="267" customWidth="1"/>
    <col min="13595" max="13595" width="12.85546875" style="267" customWidth="1"/>
    <col min="13596" max="13596" width="19.5703125" style="267" customWidth="1"/>
    <col min="13597" max="13597" width="4.140625" style="267" customWidth="1"/>
    <col min="13598" max="13598" width="6.42578125" style="267" customWidth="1"/>
    <col min="13599" max="13824" width="9.140625" style="267"/>
    <col min="13825" max="13825" width="7.5703125" style="267" customWidth="1"/>
    <col min="13826" max="13826" width="35" style="267" customWidth="1"/>
    <col min="13827" max="13827" width="15.28515625" style="267" customWidth="1"/>
    <col min="13828" max="13828" width="20.28515625" style="267" customWidth="1"/>
    <col min="13829" max="13829" width="10.140625" style="267" customWidth="1"/>
    <col min="13830" max="13830" width="14.42578125" style="267" customWidth="1"/>
    <col min="13831" max="13831" width="8.5703125" style="267" customWidth="1"/>
    <col min="13832" max="13832" width="17.28515625" style="267" customWidth="1"/>
    <col min="13833" max="13833" width="8.7109375" style="267" customWidth="1"/>
    <col min="13834" max="13834" width="16.7109375" style="267" customWidth="1"/>
    <col min="13835" max="13835" width="10.28515625" style="267" customWidth="1"/>
    <col min="13836" max="13836" width="17.7109375" style="267" customWidth="1"/>
    <col min="13837" max="13837" width="10.140625" style="267" customWidth="1"/>
    <col min="13838" max="13838" width="19.28515625" style="267" customWidth="1"/>
    <col min="13839" max="13839" width="10.42578125" style="267" customWidth="1"/>
    <col min="13840" max="13840" width="17.42578125" style="267" customWidth="1"/>
    <col min="13841" max="13841" width="10.140625" style="267" customWidth="1"/>
    <col min="13842" max="13842" width="20.85546875" style="267" customWidth="1"/>
    <col min="13843" max="13843" width="10.7109375" style="267" customWidth="1"/>
    <col min="13844" max="13844" width="21.42578125" style="267" customWidth="1"/>
    <col min="13845" max="13845" width="12" style="267" customWidth="1"/>
    <col min="13846" max="13846" width="19.7109375" style="267" customWidth="1"/>
    <col min="13847" max="13847" width="10.140625" style="267" customWidth="1"/>
    <col min="13848" max="13848" width="19.7109375" style="267" customWidth="1"/>
    <col min="13849" max="13849" width="10.140625" style="267" customWidth="1"/>
    <col min="13850" max="13850" width="21.140625" style="267" customWidth="1"/>
    <col min="13851" max="13851" width="12.85546875" style="267" customWidth="1"/>
    <col min="13852" max="13852" width="19.5703125" style="267" customWidth="1"/>
    <col min="13853" max="13853" width="4.140625" style="267" customWidth="1"/>
    <col min="13854" max="13854" width="6.42578125" style="267" customWidth="1"/>
    <col min="13855" max="14080" width="9.140625" style="267"/>
    <col min="14081" max="14081" width="7.5703125" style="267" customWidth="1"/>
    <col min="14082" max="14082" width="35" style="267" customWidth="1"/>
    <col min="14083" max="14083" width="15.28515625" style="267" customWidth="1"/>
    <col min="14084" max="14084" width="20.28515625" style="267" customWidth="1"/>
    <col min="14085" max="14085" width="10.140625" style="267" customWidth="1"/>
    <col min="14086" max="14086" width="14.42578125" style="267" customWidth="1"/>
    <col min="14087" max="14087" width="8.5703125" style="267" customWidth="1"/>
    <col min="14088" max="14088" width="17.28515625" style="267" customWidth="1"/>
    <col min="14089" max="14089" width="8.7109375" style="267" customWidth="1"/>
    <col min="14090" max="14090" width="16.7109375" style="267" customWidth="1"/>
    <col min="14091" max="14091" width="10.28515625" style="267" customWidth="1"/>
    <col min="14092" max="14092" width="17.7109375" style="267" customWidth="1"/>
    <col min="14093" max="14093" width="10.140625" style="267" customWidth="1"/>
    <col min="14094" max="14094" width="19.28515625" style="267" customWidth="1"/>
    <col min="14095" max="14095" width="10.42578125" style="267" customWidth="1"/>
    <col min="14096" max="14096" width="17.42578125" style="267" customWidth="1"/>
    <col min="14097" max="14097" width="10.140625" style="267" customWidth="1"/>
    <col min="14098" max="14098" width="20.85546875" style="267" customWidth="1"/>
    <col min="14099" max="14099" width="10.7109375" style="267" customWidth="1"/>
    <col min="14100" max="14100" width="21.42578125" style="267" customWidth="1"/>
    <col min="14101" max="14101" width="12" style="267" customWidth="1"/>
    <col min="14102" max="14102" width="19.7109375" style="267" customWidth="1"/>
    <col min="14103" max="14103" width="10.140625" style="267" customWidth="1"/>
    <col min="14104" max="14104" width="19.7109375" style="267" customWidth="1"/>
    <col min="14105" max="14105" width="10.140625" style="267" customWidth="1"/>
    <col min="14106" max="14106" width="21.140625" style="267" customWidth="1"/>
    <col min="14107" max="14107" width="12.85546875" style="267" customWidth="1"/>
    <col min="14108" max="14108" width="19.5703125" style="267" customWidth="1"/>
    <col min="14109" max="14109" width="4.140625" style="267" customWidth="1"/>
    <col min="14110" max="14110" width="6.42578125" style="267" customWidth="1"/>
    <col min="14111" max="14336" width="9.140625" style="267"/>
    <col min="14337" max="14337" width="7.5703125" style="267" customWidth="1"/>
    <col min="14338" max="14338" width="35" style="267" customWidth="1"/>
    <col min="14339" max="14339" width="15.28515625" style="267" customWidth="1"/>
    <col min="14340" max="14340" width="20.28515625" style="267" customWidth="1"/>
    <col min="14341" max="14341" width="10.140625" style="267" customWidth="1"/>
    <col min="14342" max="14342" width="14.42578125" style="267" customWidth="1"/>
    <col min="14343" max="14343" width="8.5703125" style="267" customWidth="1"/>
    <col min="14344" max="14344" width="17.28515625" style="267" customWidth="1"/>
    <col min="14345" max="14345" width="8.7109375" style="267" customWidth="1"/>
    <col min="14346" max="14346" width="16.7109375" style="267" customWidth="1"/>
    <col min="14347" max="14347" width="10.28515625" style="267" customWidth="1"/>
    <col min="14348" max="14348" width="17.7109375" style="267" customWidth="1"/>
    <col min="14349" max="14349" width="10.140625" style="267" customWidth="1"/>
    <col min="14350" max="14350" width="19.28515625" style="267" customWidth="1"/>
    <col min="14351" max="14351" width="10.42578125" style="267" customWidth="1"/>
    <col min="14352" max="14352" width="17.42578125" style="267" customWidth="1"/>
    <col min="14353" max="14353" width="10.140625" style="267" customWidth="1"/>
    <col min="14354" max="14354" width="20.85546875" style="267" customWidth="1"/>
    <col min="14355" max="14355" width="10.7109375" style="267" customWidth="1"/>
    <col min="14356" max="14356" width="21.42578125" style="267" customWidth="1"/>
    <col min="14357" max="14357" width="12" style="267" customWidth="1"/>
    <col min="14358" max="14358" width="19.7109375" style="267" customWidth="1"/>
    <col min="14359" max="14359" width="10.140625" style="267" customWidth="1"/>
    <col min="14360" max="14360" width="19.7109375" style="267" customWidth="1"/>
    <col min="14361" max="14361" width="10.140625" style="267" customWidth="1"/>
    <col min="14362" max="14362" width="21.140625" style="267" customWidth="1"/>
    <col min="14363" max="14363" width="12.85546875" style="267" customWidth="1"/>
    <col min="14364" max="14364" width="19.5703125" style="267" customWidth="1"/>
    <col min="14365" max="14365" width="4.140625" style="267" customWidth="1"/>
    <col min="14366" max="14366" width="6.42578125" style="267" customWidth="1"/>
    <col min="14367" max="14592" width="9.140625" style="267"/>
    <col min="14593" max="14593" width="7.5703125" style="267" customWidth="1"/>
    <col min="14594" max="14594" width="35" style="267" customWidth="1"/>
    <col min="14595" max="14595" width="15.28515625" style="267" customWidth="1"/>
    <col min="14596" max="14596" width="20.28515625" style="267" customWidth="1"/>
    <col min="14597" max="14597" width="10.140625" style="267" customWidth="1"/>
    <col min="14598" max="14598" width="14.42578125" style="267" customWidth="1"/>
    <col min="14599" max="14599" width="8.5703125" style="267" customWidth="1"/>
    <col min="14600" max="14600" width="17.28515625" style="267" customWidth="1"/>
    <col min="14601" max="14601" width="8.7109375" style="267" customWidth="1"/>
    <col min="14602" max="14602" width="16.7109375" style="267" customWidth="1"/>
    <col min="14603" max="14603" width="10.28515625" style="267" customWidth="1"/>
    <col min="14604" max="14604" width="17.7109375" style="267" customWidth="1"/>
    <col min="14605" max="14605" width="10.140625" style="267" customWidth="1"/>
    <col min="14606" max="14606" width="19.28515625" style="267" customWidth="1"/>
    <col min="14607" max="14607" width="10.42578125" style="267" customWidth="1"/>
    <col min="14608" max="14608" width="17.42578125" style="267" customWidth="1"/>
    <col min="14609" max="14609" width="10.140625" style="267" customWidth="1"/>
    <col min="14610" max="14610" width="20.85546875" style="267" customWidth="1"/>
    <col min="14611" max="14611" width="10.7109375" style="267" customWidth="1"/>
    <col min="14612" max="14612" width="21.42578125" style="267" customWidth="1"/>
    <col min="14613" max="14613" width="12" style="267" customWidth="1"/>
    <col min="14614" max="14614" width="19.7109375" style="267" customWidth="1"/>
    <col min="14615" max="14615" width="10.140625" style="267" customWidth="1"/>
    <col min="14616" max="14616" width="19.7109375" style="267" customWidth="1"/>
    <col min="14617" max="14617" width="10.140625" style="267" customWidth="1"/>
    <col min="14618" max="14618" width="21.140625" style="267" customWidth="1"/>
    <col min="14619" max="14619" width="12.85546875" style="267" customWidth="1"/>
    <col min="14620" max="14620" width="19.5703125" style="267" customWidth="1"/>
    <col min="14621" max="14621" width="4.140625" style="267" customWidth="1"/>
    <col min="14622" max="14622" width="6.42578125" style="267" customWidth="1"/>
    <col min="14623" max="14848" width="9.140625" style="267"/>
    <col min="14849" max="14849" width="7.5703125" style="267" customWidth="1"/>
    <col min="14850" max="14850" width="35" style="267" customWidth="1"/>
    <col min="14851" max="14851" width="15.28515625" style="267" customWidth="1"/>
    <col min="14852" max="14852" width="20.28515625" style="267" customWidth="1"/>
    <col min="14853" max="14853" width="10.140625" style="267" customWidth="1"/>
    <col min="14854" max="14854" width="14.42578125" style="267" customWidth="1"/>
    <col min="14855" max="14855" width="8.5703125" style="267" customWidth="1"/>
    <col min="14856" max="14856" width="17.28515625" style="267" customWidth="1"/>
    <col min="14857" max="14857" width="8.7109375" style="267" customWidth="1"/>
    <col min="14858" max="14858" width="16.7109375" style="267" customWidth="1"/>
    <col min="14859" max="14859" width="10.28515625" style="267" customWidth="1"/>
    <col min="14860" max="14860" width="17.7109375" style="267" customWidth="1"/>
    <col min="14861" max="14861" width="10.140625" style="267" customWidth="1"/>
    <col min="14862" max="14862" width="19.28515625" style="267" customWidth="1"/>
    <col min="14863" max="14863" width="10.42578125" style="267" customWidth="1"/>
    <col min="14864" max="14864" width="17.42578125" style="267" customWidth="1"/>
    <col min="14865" max="14865" width="10.140625" style="267" customWidth="1"/>
    <col min="14866" max="14866" width="20.85546875" style="267" customWidth="1"/>
    <col min="14867" max="14867" width="10.7109375" style="267" customWidth="1"/>
    <col min="14868" max="14868" width="21.42578125" style="267" customWidth="1"/>
    <col min="14869" max="14869" width="12" style="267" customWidth="1"/>
    <col min="14870" max="14870" width="19.7109375" style="267" customWidth="1"/>
    <col min="14871" max="14871" width="10.140625" style="267" customWidth="1"/>
    <col min="14872" max="14872" width="19.7109375" style="267" customWidth="1"/>
    <col min="14873" max="14873" width="10.140625" style="267" customWidth="1"/>
    <col min="14874" max="14874" width="21.140625" style="267" customWidth="1"/>
    <col min="14875" max="14875" width="12.85546875" style="267" customWidth="1"/>
    <col min="14876" max="14876" width="19.5703125" style="267" customWidth="1"/>
    <col min="14877" max="14877" width="4.140625" style="267" customWidth="1"/>
    <col min="14878" max="14878" width="6.42578125" style="267" customWidth="1"/>
    <col min="14879" max="15104" width="9.140625" style="267"/>
    <col min="15105" max="15105" width="7.5703125" style="267" customWidth="1"/>
    <col min="15106" max="15106" width="35" style="267" customWidth="1"/>
    <col min="15107" max="15107" width="15.28515625" style="267" customWidth="1"/>
    <col min="15108" max="15108" width="20.28515625" style="267" customWidth="1"/>
    <col min="15109" max="15109" width="10.140625" style="267" customWidth="1"/>
    <col min="15110" max="15110" width="14.42578125" style="267" customWidth="1"/>
    <col min="15111" max="15111" width="8.5703125" style="267" customWidth="1"/>
    <col min="15112" max="15112" width="17.28515625" style="267" customWidth="1"/>
    <col min="15113" max="15113" width="8.7109375" style="267" customWidth="1"/>
    <col min="15114" max="15114" width="16.7109375" style="267" customWidth="1"/>
    <col min="15115" max="15115" width="10.28515625" style="267" customWidth="1"/>
    <col min="15116" max="15116" width="17.7109375" style="267" customWidth="1"/>
    <col min="15117" max="15117" width="10.140625" style="267" customWidth="1"/>
    <col min="15118" max="15118" width="19.28515625" style="267" customWidth="1"/>
    <col min="15119" max="15119" width="10.42578125" style="267" customWidth="1"/>
    <col min="15120" max="15120" width="17.42578125" style="267" customWidth="1"/>
    <col min="15121" max="15121" width="10.140625" style="267" customWidth="1"/>
    <col min="15122" max="15122" width="20.85546875" style="267" customWidth="1"/>
    <col min="15123" max="15123" width="10.7109375" style="267" customWidth="1"/>
    <col min="15124" max="15124" width="21.42578125" style="267" customWidth="1"/>
    <col min="15125" max="15125" width="12" style="267" customWidth="1"/>
    <col min="15126" max="15126" width="19.7109375" style="267" customWidth="1"/>
    <col min="15127" max="15127" width="10.140625" style="267" customWidth="1"/>
    <col min="15128" max="15128" width="19.7109375" style="267" customWidth="1"/>
    <col min="15129" max="15129" width="10.140625" style="267" customWidth="1"/>
    <col min="15130" max="15130" width="21.140625" style="267" customWidth="1"/>
    <col min="15131" max="15131" width="12.85546875" style="267" customWidth="1"/>
    <col min="15132" max="15132" width="19.5703125" style="267" customWidth="1"/>
    <col min="15133" max="15133" width="4.140625" style="267" customWidth="1"/>
    <col min="15134" max="15134" width="6.42578125" style="267" customWidth="1"/>
    <col min="15135" max="15360" width="9.140625" style="267"/>
    <col min="15361" max="15361" width="7.5703125" style="267" customWidth="1"/>
    <col min="15362" max="15362" width="35" style="267" customWidth="1"/>
    <col min="15363" max="15363" width="15.28515625" style="267" customWidth="1"/>
    <col min="15364" max="15364" width="20.28515625" style="267" customWidth="1"/>
    <col min="15365" max="15365" width="10.140625" style="267" customWidth="1"/>
    <col min="15366" max="15366" width="14.42578125" style="267" customWidth="1"/>
    <col min="15367" max="15367" width="8.5703125" style="267" customWidth="1"/>
    <col min="15368" max="15368" width="17.28515625" style="267" customWidth="1"/>
    <col min="15369" max="15369" width="8.7109375" style="267" customWidth="1"/>
    <col min="15370" max="15370" width="16.7109375" style="267" customWidth="1"/>
    <col min="15371" max="15371" width="10.28515625" style="267" customWidth="1"/>
    <col min="15372" max="15372" width="17.7109375" style="267" customWidth="1"/>
    <col min="15373" max="15373" width="10.140625" style="267" customWidth="1"/>
    <col min="15374" max="15374" width="19.28515625" style="267" customWidth="1"/>
    <col min="15375" max="15375" width="10.42578125" style="267" customWidth="1"/>
    <col min="15376" max="15376" width="17.42578125" style="267" customWidth="1"/>
    <col min="15377" max="15377" width="10.140625" style="267" customWidth="1"/>
    <col min="15378" max="15378" width="20.85546875" style="267" customWidth="1"/>
    <col min="15379" max="15379" width="10.7109375" style="267" customWidth="1"/>
    <col min="15380" max="15380" width="21.42578125" style="267" customWidth="1"/>
    <col min="15381" max="15381" width="12" style="267" customWidth="1"/>
    <col min="15382" max="15382" width="19.7109375" style="267" customWidth="1"/>
    <col min="15383" max="15383" width="10.140625" style="267" customWidth="1"/>
    <col min="15384" max="15384" width="19.7109375" style="267" customWidth="1"/>
    <col min="15385" max="15385" width="10.140625" style="267" customWidth="1"/>
    <col min="15386" max="15386" width="21.140625" style="267" customWidth="1"/>
    <col min="15387" max="15387" width="12.85546875" style="267" customWidth="1"/>
    <col min="15388" max="15388" width="19.5703125" style="267" customWidth="1"/>
    <col min="15389" max="15389" width="4.140625" style="267" customWidth="1"/>
    <col min="15390" max="15390" width="6.42578125" style="267" customWidth="1"/>
    <col min="15391" max="15616" width="9.140625" style="267"/>
    <col min="15617" max="15617" width="7.5703125" style="267" customWidth="1"/>
    <col min="15618" max="15618" width="35" style="267" customWidth="1"/>
    <col min="15619" max="15619" width="15.28515625" style="267" customWidth="1"/>
    <col min="15620" max="15620" width="20.28515625" style="267" customWidth="1"/>
    <col min="15621" max="15621" width="10.140625" style="267" customWidth="1"/>
    <col min="15622" max="15622" width="14.42578125" style="267" customWidth="1"/>
    <col min="15623" max="15623" width="8.5703125" style="267" customWidth="1"/>
    <col min="15624" max="15624" width="17.28515625" style="267" customWidth="1"/>
    <col min="15625" max="15625" width="8.7109375" style="267" customWidth="1"/>
    <col min="15626" max="15626" width="16.7109375" style="267" customWidth="1"/>
    <col min="15627" max="15627" width="10.28515625" style="267" customWidth="1"/>
    <col min="15628" max="15628" width="17.7109375" style="267" customWidth="1"/>
    <col min="15629" max="15629" width="10.140625" style="267" customWidth="1"/>
    <col min="15630" max="15630" width="19.28515625" style="267" customWidth="1"/>
    <col min="15631" max="15631" width="10.42578125" style="267" customWidth="1"/>
    <col min="15632" max="15632" width="17.42578125" style="267" customWidth="1"/>
    <col min="15633" max="15633" width="10.140625" style="267" customWidth="1"/>
    <col min="15634" max="15634" width="20.85546875" style="267" customWidth="1"/>
    <col min="15635" max="15635" width="10.7109375" style="267" customWidth="1"/>
    <col min="15636" max="15636" width="21.42578125" style="267" customWidth="1"/>
    <col min="15637" max="15637" width="12" style="267" customWidth="1"/>
    <col min="15638" max="15638" width="19.7109375" style="267" customWidth="1"/>
    <col min="15639" max="15639" width="10.140625" style="267" customWidth="1"/>
    <col min="15640" max="15640" width="19.7109375" style="267" customWidth="1"/>
    <col min="15641" max="15641" width="10.140625" style="267" customWidth="1"/>
    <col min="15642" max="15642" width="21.140625" style="267" customWidth="1"/>
    <col min="15643" max="15643" width="12.85546875" style="267" customWidth="1"/>
    <col min="15644" max="15644" width="19.5703125" style="267" customWidth="1"/>
    <col min="15645" max="15645" width="4.140625" style="267" customWidth="1"/>
    <col min="15646" max="15646" width="6.42578125" style="267" customWidth="1"/>
    <col min="15647" max="15872" width="9.140625" style="267"/>
    <col min="15873" max="15873" width="7.5703125" style="267" customWidth="1"/>
    <col min="15874" max="15874" width="35" style="267" customWidth="1"/>
    <col min="15875" max="15875" width="15.28515625" style="267" customWidth="1"/>
    <col min="15876" max="15876" width="20.28515625" style="267" customWidth="1"/>
    <col min="15877" max="15877" width="10.140625" style="267" customWidth="1"/>
    <col min="15878" max="15878" width="14.42578125" style="267" customWidth="1"/>
    <col min="15879" max="15879" width="8.5703125" style="267" customWidth="1"/>
    <col min="15880" max="15880" width="17.28515625" style="267" customWidth="1"/>
    <col min="15881" max="15881" width="8.7109375" style="267" customWidth="1"/>
    <col min="15882" max="15882" width="16.7109375" style="267" customWidth="1"/>
    <col min="15883" max="15883" width="10.28515625" style="267" customWidth="1"/>
    <col min="15884" max="15884" width="17.7109375" style="267" customWidth="1"/>
    <col min="15885" max="15885" width="10.140625" style="267" customWidth="1"/>
    <col min="15886" max="15886" width="19.28515625" style="267" customWidth="1"/>
    <col min="15887" max="15887" width="10.42578125" style="267" customWidth="1"/>
    <col min="15888" max="15888" width="17.42578125" style="267" customWidth="1"/>
    <col min="15889" max="15889" width="10.140625" style="267" customWidth="1"/>
    <col min="15890" max="15890" width="20.85546875" style="267" customWidth="1"/>
    <col min="15891" max="15891" width="10.7109375" style="267" customWidth="1"/>
    <col min="15892" max="15892" width="21.42578125" style="267" customWidth="1"/>
    <col min="15893" max="15893" width="12" style="267" customWidth="1"/>
    <col min="15894" max="15894" width="19.7109375" style="267" customWidth="1"/>
    <col min="15895" max="15895" width="10.140625" style="267" customWidth="1"/>
    <col min="15896" max="15896" width="19.7109375" style="267" customWidth="1"/>
    <col min="15897" max="15897" width="10.140625" style="267" customWidth="1"/>
    <col min="15898" max="15898" width="21.140625" style="267" customWidth="1"/>
    <col min="15899" max="15899" width="12.85546875" style="267" customWidth="1"/>
    <col min="15900" max="15900" width="19.5703125" style="267" customWidth="1"/>
    <col min="15901" max="15901" width="4.140625" style="267" customWidth="1"/>
    <col min="15902" max="15902" width="6.42578125" style="267" customWidth="1"/>
    <col min="15903" max="16128" width="9.140625" style="267"/>
    <col min="16129" max="16129" width="7.5703125" style="267" customWidth="1"/>
    <col min="16130" max="16130" width="35" style="267" customWidth="1"/>
    <col min="16131" max="16131" width="15.28515625" style="267" customWidth="1"/>
    <col min="16132" max="16132" width="20.28515625" style="267" customWidth="1"/>
    <col min="16133" max="16133" width="10.140625" style="267" customWidth="1"/>
    <col min="16134" max="16134" width="14.42578125" style="267" customWidth="1"/>
    <col min="16135" max="16135" width="8.5703125" style="267" customWidth="1"/>
    <col min="16136" max="16136" width="17.28515625" style="267" customWidth="1"/>
    <col min="16137" max="16137" width="8.7109375" style="267" customWidth="1"/>
    <col min="16138" max="16138" width="16.7109375" style="267" customWidth="1"/>
    <col min="16139" max="16139" width="10.28515625" style="267" customWidth="1"/>
    <col min="16140" max="16140" width="17.7109375" style="267" customWidth="1"/>
    <col min="16141" max="16141" width="10.140625" style="267" customWidth="1"/>
    <col min="16142" max="16142" width="19.28515625" style="267" customWidth="1"/>
    <col min="16143" max="16143" width="10.42578125" style="267" customWidth="1"/>
    <col min="16144" max="16144" width="17.42578125" style="267" customWidth="1"/>
    <col min="16145" max="16145" width="10.140625" style="267" customWidth="1"/>
    <col min="16146" max="16146" width="20.85546875" style="267" customWidth="1"/>
    <col min="16147" max="16147" width="10.7109375" style="267" customWidth="1"/>
    <col min="16148" max="16148" width="21.42578125" style="267" customWidth="1"/>
    <col min="16149" max="16149" width="12" style="267" customWidth="1"/>
    <col min="16150" max="16150" width="19.7109375" style="267" customWidth="1"/>
    <col min="16151" max="16151" width="10.140625" style="267" customWidth="1"/>
    <col min="16152" max="16152" width="19.7109375" style="267" customWidth="1"/>
    <col min="16153" max="16153" width="10.140625" style="267" customWidth="1"/>
    <col min="16154" max="16154" width="21.140625" style="267" customWidth="1"/>
    <col min="16155" max="16155" width="12.85546875" style="267" customWidth="1"/>
    <col min="16156" max="16156" width="19.5703125" style="267" customWidth="1"/>
    <col min="16157" max="16157" width="4.140625" style="267" customWidth="1"/>
    <col min="16158" max="16158" width="6.42578125" style="267" customWidth="1"/>
    <col min="16159" max="16384" width="9.140625" style="267"/>
  </cols>
  <sheetData>
    <row r="1" spans="1:30" s="231" customFormat="1" ht="20.100000000000001" customHeight="1" x14ac:dyDescent="0.25">
      <c r="A1" s="224" t="s">
        <v>458</v>
      </c>
      <c r="B1" s="225"/>
      <c r="C1" s="226"/>
      <c r="D1" s="225"/>
      <c r="E1" s="227"/>
      <c r="F1" s="228"/>
      <c r="G1" s="227"/>
      <c r="H1" s="229"/>
      <c r="I1" s="230"/>
      <c r="J1" s="228"/>
      <c r="K1" s="228"/>
      <c r="L1" s="229"/>
      <c r="N1" s="225"/>
      <c r="AD1" s="232"/>
    </row>
    <row r="2" spans="1:30" s="231" customFormat="1" ht="20.100000000000001" customHeight="1" x14ac:dyDescent="0.25">
      <c r="A2" s="224" t="s">
        <v>451</v>
      </c>
      <c r="B2" s="225"/>
      <c r="C2" s="226"/>
      <c r="D2" s="225"/>
      <c r="E2" s="227"/>
      <c r="F2" s="228"/>
      <c r="G2" s="227"/>
      <c r="H2" s="229"/>
      <c r="I2" s="230"/>
      <c r="J2" s="228"/>
      <c r="K2" s="228"/>
      <c r="L2" s="229"/>
      <c r="N2" s="225"/>
      <c r="AD2" s="232"/>
    </row>
    <row r="3" spans="1:30" s="231" customFormat="1" ht="20.100000000000001" customHeight="1" x14ac:dyDescent="0.25">
      <c r="A3" s="224" t="s">
        <v>452</v>
      </c>
      <c r="B3" s="225"/>
      <c r="C3" s="226"/>
      <c r="D3" s="225"/>
      <c r="E3" s="227"/>
      <c r="F3" s="228"/>
      <c r="G3" s="227"/>
      <c r="H3" s="229"/>
      <c r="I3" s="230"/>
      <c r="J3" s="228"/>
      <c r="K3" s="228"/>
      <c r="L3" s="229"/>
      <c r="N3" s="225"/>
      <c r="AD3" s="232"/>
    </row>
    <row r="4" spans="1:30" s="231" customFormat="1" ht="20.100000000000001" customHeight="1" x14ac:dyDescent="0.25">
      <c r="A4" s="224"/>
      <c r="B4" s="225"/>
      <c r="C4" s="226"/>
      <c r="D4" s="225"/>
      <c r="E4" s="227"/>
      <c r="F4" s="228"/>
      <c r="G4" s="227"/>
      <c r="H4" s="229"/>
      <c r="I4" s="230"/>
      <c r="J4" s="228"/>
      <c r="K4" s="228"/>
      <c r="L4" s="229"/>
      <c r="N4" s="225"/>
      <c r="AD4" s="232"/>
    </row>
    <row r="5" spans="1:30" s="234" customFormat="1" ht="70.5" customHeight="1" thickBot="1" x14ac:dyDescent="0.3">
      <c r="A5" s="496" t="s">
        <v>615</v>
      </c>
      <c r="B5" s="496"/>
      <c r="C5" s="496"/>
      <c r="D5" s="496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AD5" s="235"/>
    </row>
    <row r="6" spans="1:30" s="236" customFormat="1" ht="30" customHeight="1" x14ac:dyDescent="0.25">
      <c r="A6" s="524" t="s">
        <v>459</v>
      </c>
      <c r="B6" s="525"/>
      <c r="C6" s="525"/>
      <c r="D6" s="521"/>
      <c r="E6" s="525" t="s">
        <v>460</v>
      </c>
      <c r="F6" s="525"/>
      <c r="G6" s="519" t="s">
        <v>461</v>
      </c>
      <c r="H6" s="520"/>
      <c r="I6" s="525" t="s">
        <v>462</v>
      </c>
      <c r="J6" s="525"/>
      <c r="K6" s="519" t="s">
        <v>463</v>
      </c>
      <c r="L6" s="520"/>
      <c r="M6" s="525" t="s">
        <v>464</v>
      </c>
      <c r="N6" s="525"/>
      <c r="O6" s="519" t="s">
        <v>465</v>
      </c>
      <c r="P6" s="520"/>
      <c r="Q6" s="519" t="s">
        <v>466</v>
      </c>
      <c r="R6" s="520"/>
      <c r="S6" s="519" t="s">
        <v>467</v>
      </c>
      <c r="T6" s="521"/>
      <c r="U6" s="516" t="s">
        <v>468</v>
      </c>
      <c r="V6" s="522"/>
      <c r="W6" s="523" t="s">
        <v>469</v>
      </c>
      <c r="X6" s="522"/>
      <c r="Y6" s="523" t="s">
        <v>470</v>
      </c>
      <c r="Z6" s="522"/>
      <c r="AA6" s="516" t="s">
        <v>471</v>
      </c>
      <c r="AB6" s="517"/>
      <c r="AD6" s="237"/>
    </row>
    <row r="7" spans="1:30" s="236" customFormat="1" ht="20.100000000000001" customHeight="1" thickBot="1" x14ac:dyDescent="0.3">
      <c r="A7" s="238" t="s">
        <v>255</v>
      </c>
      <c r="B7" s="239" t="s">
        <v>453</v>
      </c>
      <c r="C7" s="240" t="s">
        <v>472</v>
      </c>
      <c r="D7" s="241" t="s">
        <v>454</v>
      </c>
      <c r="E7" s="242" t="s">
        <v>455</v>
      </c>
      <c r="F7" s="243" t="s">
        <v>456</v>
      </c>
      <c r="G7" s="240" t="s">
        <v>455</v>
      </c>
      <c r="H7" s="244" t="s">
        <v>456</v>
      </c>
      <c r="I7" s="242" t="s">
        <v>455</v>
      </c>
      <c r="J7" s="245" t="s">
        <v>456</v>
      </c>
      <c r="K7" s="240" t="s">
        <v>455</v>
      </c>
      <c r="L7" s="244" t="s">
        <v>456</v>
      </c>
      <c r="M7" s="242" t="s">
        <v>455</v>
      </c>
      <c r="N7" s="245" t="s">
        <v>456</v>
      </c>
      <c r="O7" s="240" t="s">
        <v>455</v>
      </c>
      <c r="P7" s="244" t="s">
        <v>456</v>
      </c>
      <c r="Q7" s="240" t="s">
        <v>455</v>
      </c>
      <c r="R7" s="244" t="s">
        <v>456</v>
      </c>
      <c r="S7" s="240" t="s">
        <v>455</v>
      </c>
      <c r="T7" s="428" t="s">
        <v>456</v>
      </c>
      <c r="U7" s="369" t="s">
        <v>455</v>
      </c>
      <c r="V7" s="371" t="s">
        <v>456</v>
      </c>
      <c r="W7" s="370" t="s">
        <v>455</v>
      </c>
      <c r="X7" s="371" t="s">
        <v>456</v>
      </c>
      <c r="Y7" s="370" t="s">
        <v>455</v>
      </c>
      <c r="Z7" s="371" t="s">
        <v>456</v>
      </c>
      <c r="AA7" s="369" t="s">
        <v>455</v>
      </c>
      <c r="AB7" s="372" t="s">
        <v>456</v>
      </c>
      <c r="AD7" s="246" t="s">
        <v>455</v>
      </c>
    </row>
    <row r="8" spans="1:30" s="255" customFormat="1" ht="9.9499999999999993" customHeight="1" x14ac:dyDescent="0.25">
      <c r="A8" s="247"/>
      <c r="B8" s="248"/>
      <c r="C8" s="249"/>
      <c r="D8" s="250"/>
      <c r="E8" s="251"/>
      <c r="F8" s="252"/>
      <c r="G8" s="253"/>
      <c r="H8" s="254"/>
      <c r="I8" s="253"/>
      <c r="J8" s="254"/>
      <c r="K8" s="253"/>
      <c r="L8" s="254"/>
      <c r="M8" s="253"/>
      <c r="N8" s="254"/>
      <c r="O8" s="253"/>
      <c r="P8" s="254"/>
      <c r="Q8" s="253"/>
      <c r="R8" s="254"/>
      <c r="S8" s="253"/>
      <c r="T8" s="429"/>
      <c r="U8" s="373"/>
      <c r="V8" s="374"/>
      <c r="W8" s="373"/>
      <c r="X8" s="374"/>
      <c r="Y8" s="373"/>
      <c r="Z8" s="374"/>
      <c r="AA8" s="373"/>
      <c r="AB8" s="375"/>
      <c r="AD8" s="256"/>
    </row>
    <row r="9" spans="1:30" s="262" customFormat="1" ht="9.9499999999999993" customHeight="1" x14ac:dyDescent="0.25">
      <c r="A9" s="505" t="s">
        <v>473</v>
      </c>
      <c r="B9" s="518" t="s">
        <v>490</v>
      </c>
      <c r="C9" s="507">
        <f>D9*1.276/$D$63</f>
        <v>1.0686652208321327E-2</v>
      </c>
      <c r="D9" s="508">
        <f>Orçamento!H13</f>
        <v>5877.1620000000003</v>
      </c>
      <c r="E9" s="257"/>
      <c r="F9" s="258"/>
      <c r="G9" s="261"/>
      <c r="H9" s="261"/>
      <c r="I9" s="259"/>
      <c r="J9" s="260"/>
      <c r="K9" s="261"/>
      <c r="L9" s="261"/>
      <c r="M9" s="259"/>
      <c r="N9" s="260"/>
      <c r="O9" s="261"/>
      <c r="P9" s="261"/>
      <c r="Q9" s="259"/>
      <c r="R9" s="260"/>
      <c r="S9" s="257"/>
      <c r="T9" s="430"/>
      <c r="U9" s="376"/>
      <c r="V9" s="378"/>
      <c r="W9" s="378"/>
      <c r="X9" s="378"/>
      <c r="Y9" s="378"/>
      <c r="Z9" s="378"/>
      <c r="AA9" s="376"/>
      <c r="AB9" s="379"/>
      <c r="AD9" s="263">
        <f>IF(AD10=0,"",1)</f>
        <v>1</v>
      </c>
    </row>
    <row r="10" spans="1:30" ht="20.100000000000001" customHeight="1" x14ac:dyDescent="0.25">
      <c r="A10" s="505"/>
      <c r="B10" s="518"/>
      <c r="C10" s="507"/>
      <c r="D10" s="508"/>
      <c r="E10" s="264">
        <v>0.75</v>
      </c>
      <c r="F10" s="265">
        <f>$D9*E10</f>
        <v>4407.8715000000002</v>
      </c>
      <c r="G10" s="266"/>
      <c r="H10" s="265">
        <f>$D9*G10</f>
        <v>0</v>
      </c>
      <c r="I10" s="266"/>
      <c r="J10" s="265">
        <f>$D9*I10</f>
        <v>0</v>
      </c>
      <c r="K10" s="266"/>
      <c r="L10" s="265">
        <f>$D9*K10</f>
        <v>0</v>
      </c>
      <c r="M10" s="266"/>
      <c r="N10" s="265">
        <f>$D9*M10</f>
        <v>0</v>
      </c>
      <c r="O10" s="266"/>
      <c r="P10" s="265">
        <f>$D9*O10</f>
        <v>0</v>
      </c>
      <c r="Q10" s="266"/>
      <c r="R10" s="265">
        <f>$D9*Q10</f>
        <v>0</v>
      </c>
      <c r="S10" s="266">
        <v>0.25</v>
      </c>
      <c r="T10" s="431">
        <f>$D9*S10</f>
        <v>1469.2905000000001</v>
      </c>
      <c r="U10" s="424"/>
      <c r="V10" s="381"/>
      <c r="W10" s="380"/>
      <c r="X10" s="381">
        <f>$D9*W10</f>
        <v>0</v>
      </c>
      <c r="Y10" s="380"/>
      <c r="Z10" s="381">
        <f>$D9*Y10</f>
        <v>0</v>
      </c>
      <c r="AA10" s="380"/>
      <c r="AB10" s="382">
        <f>$D9*AA10</f>
        <v>0</v>
      </c>
      <c r="AD10" s="268">
        <f>SUM(AA10,Y10,W10,U10,S10,Q10,O10,M10,K10,I10,G10,E10)</f>
        <v>1</v>
      </c>
    </row>
    <row r="11" spans="1:30" s="255" customFormat="1" ht="9.9499999999999993" customHeight="1" x14ac:dyDescent="0.25">
      <c r="A11" s="269"/>
      <c r="B11" s="270"/>
      <c r="C11" s="271"/>
      <c r="D11" s="272"/>
      <c r="E11" s="273"/>
      <c r="F11" s="274"/>
      <c r="G11" s="275"/>
      <c r="H11" s="276"/>
      <c r="I11" s="275"/>
      <c r="J11" s="276"/>
      <c r="K11" s="275"/>
      <c r="L11" s="276"/>
      <c r="M11" s="275"/>
      <c r="N11" s="276"/>
      <c r="O11" s="275"/>
      <c r="P11" s="276"/>
      <c r="Q11" s="275"/>
      <c r="R11" s="276"/>
      <c r="S11" s="275"/>
      <c r="T11" s="432"/>
      <c r="U11" s="383"/>
      <c r="V11" s="384"/>
      <c r="W11" s="383"/>
      <c r="X11" s="384"/>
      <c r="Y11" s="383"/>
      <c r="Z11" s="384"/>
      <c r="AA11" s="383"/>
      <c r="AB11" s="385"/>
      <c r="AD11" s="277"/>
    </row>
    <row r="12" spans="1:30" ht="9.9499999999999993" customHeight="1" x14ac:dyDescent="0.25">
      <c r="A12" s="505" t="s">
        <v>474</v>
      </c>
      <c r="B12" s="506" t="s">
        <v>491</v>
      </c>
      <c r="C12" s="507">
        <f>D12*1.276/$D$63</f>
        <v>1.3085759136069479E-2</v>
      </c>
      <c r="D12" s="509">
        <f>Orçamento!H18</f>
        <v>7196.5592999999999</v>
      </c>
      <c r="E12" s="257"/>
      <c r="F12" s="258"/>
      <c r="G12" s="419"/>
      <c r="H12" s="419"/>
      <c r="I12" s="261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433"/>
      <c r="U12" s="425"/>
      <c r="V12" s="377"/>
      <c r="W12" s="377"/>
      <c r="X12" s="377"/>
      <c r="Y12" s="377"/>
      <c r="Z12" s="377"/>
      <c r="AA12" s="377"/>
      <c r="AB12" s="377"/>
      <c r="AD12" s="263">
        <f>IF(AD13=0,"",1)</f>
        <v>1</v>
      </c>
    </row>
    <row r="13" spans="1:30" ht="20.100000000000001" customHeight="1" x14ac:dyDescent="0.25">
      <c r="A13" s="505"/>
      <c r="B13" s="518"/>
      <c r="C13" s="507"/>
      <c r="D13" s="509"/>
      <c r="E13" s="264">
        <v>0.4</v>
      </c>
      <c r="F13" s="265">
        <f>$D12*E13</f>
        <v>2878.62372</v>
      </c>
      <c r="G13" s="266">
        <v>0.6</v>
      </c>
      <c r="H13" s="265">
        <f>$D12*G13</f>
        <v>4317.9355799999994</v>
      </c>
      <c r="I13" s="279"/>
      <c r="J13" s="265">
        <f>$D12*I13</f>
        <v>0</v>
      </c>
      <c r="K13" s="279"/>
      <c r="L13" s="265">
        <f>$D12*K13</f>
        <v>0</v>
      </c>
      <c r="M13" s="279"/>
      <c r="N13" s="265">
        <f>$D12*M13</f>
        <v>0</v>
      </c>
      <c r="O13" s="279"/>
      <c r="P13" s="265">
        <f>$D12*O13</f>
        <v>0</v>
      </c>
      <c r="Q13" s="279"/>
      <c r="R13" s="265">
        <f>$D12*Q13</f>
        <v>0</v>
      </c>
      <c r="S13" s="279"/>
      <c r="T13" s="434"/>
      <c r="U13" s="426"/>
      <c r="V13" s="381">
        <f>$D12*U13</f>
        <v>0</v>
      </c>
      <c r="W13" s="386"/>
      <c r="X13" s="381">
        <f>$D12*W13</f>
        <v>0</v>
      </c>
      <c r="Y13" s="386"/>
      <c r="Z13" s="381">
        <f>$D12*Y13</f>
        <v>0</v>
      </c>
      <c r="AA13" s="386"/>
      <c r="AB13" s="382">
        <f>$D12*AA13</f>
        <v>0</v>
      </c>
      <c r="AD13" s="268">
        <f>SUM(AA13,Y13,W13,U13,S13,Q13,O13,M13,K13,I13,G13,E13)</f>
        <v>1</v>
      </c>
    </row>
    <row r="14" spans="1:30" s="255" customFormat="1" ht="9.9499999999999993" customHeight="1" x14ac:dyDescent="0.25">
      <c r="A14" s="280"/>
      <c r="B14" s="281"/>
      <c r="C14" s="282"/>
      <c r="D14" s="283"/>
      <c r="E14" s="273"/>
      <c r="F14" s="274"/>
      <c r="G14" s="275"/>
      <c r="H14" s="276"/>
      <c r="I14" s="275"/>
      <c r="J14" s="276"/>
      <c r="K14" s="275"/>
      <c r="L14" s="276"/>
      <c r="M14" s="275"/>
      <c r="N14" s="276"/>
      <c r="O14" s="275"/>
      <c r="P14" s="276"/>
      <c r="Q14" s="275"/>
      <c r="R14" s="276"/>
      <c r="S14" s="275"/>
      <c r="T14" s="432"/>
      <c r="U14" s="383"/>
      <c r="V14" s="384"/>
      <c r="W14" s="383"/>
      <c r="X14" s="384"/>
      <c r="Y14" s="383"/>
      <c r="Z14" s="384"/>
      <c r="AA14" s="387"/>
      <c r="AB14" s="385"/>
      <c r="AD14" s="277"/>
    </row>
    <row r="15" spans="1:30" ht="9.9499999999999993" customHeight="1" x14ac:dyDescent="0.25">
      <c r="A15" s="505" t="s">
        <v>475</v>
      </c>
      <c r="B15" s="506" t="s">
        <v>492</v>
      </c>
      <c r="C15" s="507">
        <f>D15*1.276/$D$63</f>
        <v>0.22639080349633195</v>
      </c>
      <c r="D15" s="508">
        <f>Orçamento!H29</f>
        <v>124504.41929999999</v>
      </c>
      <c r="E15" s="420"/>
      <c r="F15" s="419"/>
      <c r="G15" s="420"/>
      <c r="H15" s="419"/>
      <c r="I15" s="420"/>
      <c r="J15" s="419"/>
      <c r="K15" s="420"/>
      <c r="L15" s="419"/>
      <c r="M15" s="420"/>
      <c r="N15" s="419"/>
      <c r="O15" s="261"/>
      <c r="P15" s="261"/>
      <c r="Q15" s="259"/>
      <c r="R15" s="260"/>
      <c r="S15" s="259"/>
      <c r="T15" s="433"/>
      <c r="U15" s="376"/>
      <c r="V15" s="378"/>
      <c r="W15" s="378"/>
      <c r="X15" s="378"/>
      <c r="Y15" s="378"/>
      <c r="Z15" s="378"/>
      <c r="AA15" s="376"/>
      <c r="AB15" s="379"/>
      <c r="AD15" s="263">
        <f>IF(AD16=0,"",1)</f>
        <v>1</v>
      </c>
    </row>
    <row r="16" spans="1:30" ht="20.100000000000001" customHeight="1" x14ac:dyDescent="0.25">
      <c r="A16" s="505"/>
      <c r="B16" s="506"/>
      <c r="C16" s="507"/>
      <c r="D16" s="508"/>
      <c r="E16" s="264">
        <v>0.2</v>
      </c>
      <c r="F16" s="265">
        <f>$D15*E16</f>
        <v>24900.883860000002</v>
      </c>
      <c r="G16" s="266">
        <v>0.2</v>
      </c>
      <c r="H16" s="265">
        <f>$D15*G16</f>
        <v>24900.883860000002</v>
      </c>
      <c r="I16" s="266">
        <v>0.2</v>
      </c>
      <c r="J16" s="265">
        <f>$D15*I16</f>
        <v>24900.883860000002</v>
      </c>
      <c r="K16" s="266">
        <v>0.2</v>
      </c>
      <c r="L16" s="265">
        <f>$D15*K16</f>
        <v>24900.883860000002</v>
      </c>
      <c r="M16" s="266">
        <v>0.2</v>
      </c>
      <c r="N16" s="265">
        <f>$D15*M16</f>
        <v>24900.883860000002</v>
      </c>
      <c r="O16" s="266"/>
      <c r="P16" s="265">
        <f>$D15*O16</f>
        <v>0</v>
      </c>
      <c r="Q16" s="266"/>
      <c r="R16" s="265">
        <f>$D15*Q16</f>
        <v>0</v>
      </c>
      <c r="S16" s="266"/>
      <c r="T16" s="435"/>
      <c r="U16" s="424"/>
      <c r="V16" s="381">
        <f>$D15*U16</f>
        <v>0</v>
      </c>
      <c r="W16" s="380"/>
      <c r="X16" s="381">
        <f>$D15*W16</f>
        <v>0</v>
      </c>
      <c r="Y16" s="380"/>
      <c r="Z16" s="381">
        <f>$D15*Y16</f>
        <v>0</v>
      </c>
      <c r="AA16" s="380"/>
      <c r="AB16" s="382">
        <f>$D15*AA16</f>
        <v>0</v>
      </c>
      <c r="AD16" s="268">
        <f>SUM(AA16,Y16,W16,U16,S16,Q16,O16,M16,K16,I16,G16,E16)</f>
        <v>1</v>
      </c>
    </row>
    <row r="17" spans="1:30" s="255" customFormat="1" ht="9.9499999999999993" customHeight="1" x14ac:dyDescent="0.25">
      <c r="A17" s="269"/>
      <c r="B17" s="270"/>
      <c r="C17" s="271"/>
      <c r="D17" s="272"/>
      <c r="E17" s="273"/>
      <c r="F17" s="274"/>
      <c r="G17" s="275"/>
      <c r="H17" s="276"/>
      <c r="I17" s="275"/>
      <c r="J17" s="276"/>
      <c r="K17" s="275"/>
      <c r="L17" s="276"/>
      <c r="M17" s="275"/>
      <c r="N17" s="276"/>
      <c r="O17" s="275"/>
      <c r="P17" s="276"/>
      <c r="Q17" s="275"/>
      <c r="R17" s="276"/>
      <c r="S17" s="275"/>
      <c r="T17" s="432"/>
      <c r="U17" s="383"/>
      <c r="V17" s="384"/>
      <c r="W17" s="383"/>
      <c r="X17" s="384"/>
      <c r="Y17" s="383"/>
      <c r="Z17" s="384"/>
      <c r="AA17" s="383"/>
      <c r="AB17" s="385"/>
      <c r="AD17" s="277"/>
    </row>
    <row r="18" spans="1:30" ht="9.9499999999999993" customHeight="1" x14ac:dyDescent="0.25">
      <c r="A18" s="505" t="s">
        <v>476</v>
      </c>
      <c r="B18" s="506" t="s">
        <v>349</v>
      </c>
      <c r="C18" s="507">
        <f>D18*1.276/$D$63</f>
        <v>3.6883162410683082E-3</v>
      </c>
      <c r="D18" s="508">
        <f>Orçamento!H35</f>
        <v>2028.4024999999999</v>
      </c>
      <c r="E18" s="420"/>
      <c r="F18" s="419"/>
      <c r="G18" s="420"/>
      <c r="H18" s="419"/>
      <c r="I18" s="420"/>
      <c r="J18" s="419"/>
      <c r="K18" s="421"/>
      <c r="L18" s="421"/>
      <c r="M18" s="259"/>
      <c r="N18" s="260"/>
      <c r="O18" s="261"/>
      <c r="P18" s="261"/>
      <c r="Q18" s="259"/>
      <c r="R18" s="260"/>
      <c r="S18" s="259"/>
      <c r="T18" s="433"/>
      <c r="U18" s="376"/>
      <c r="V18" s="378"/>
      <c r="W18" s="378"/>
      <c r="X18" s="378"/>
      <c r="Y18" s="378"/>
      <c r="Z18" s="378"/>
      <c r="AA18" s="376"/>
      <c r="AB18" s="379"/>
      <c r="AD18" s="263"/>
    </row>
    <row r="19" spans="1:30" ht="20.100000000000001" customHeight="1" x14ac:dyDescent="0.25">
      <c r="A19" s="505"/>
      <c r="B19" s="506"/>
      <c r="C19" s="507"/>
      <c r="D19" s="508"/>
      <c r="E19" s="264">
        <v>0.2</v>
      </c>
      <c r="F19" s="265">
        <f>$D18*E19</f>
        <v>405.68049999999999</v>
      </c>
      <c r="G19" s="266">
        <v>0.3</v>
      </c>
      <c r="H19" s="265">
        <f>$D18*G19</f>
        <v>608.52074999999991</v>
      </c>
      <c r="I19" s="266">
        <v>0.3</v>
      </c>
      <c r="J19" s="265">
        <f>$D18*I19</f>
        <v>608.52074999999991</v>
      </c>
      <c r="K19" s="266">
        <v>0.2</v>
      </c>
      <c r="L19" s="265">
        <f>$D18*K19</f>
        <v>405.68049999999999</v>
      </c>
      <c r="M19" s="266"/>
      <c r="N19" s="265">
        <f>$D18*M19</f>
        <v>0</v>
      </c>
      <c r="O19" s="266"/>
      <c r="P19" s="265">
        <f>$D18*O19</f>
        <v>0</v>
      </c>
      <c r="Q19" s="266"/>
      <c r="R19" s="265">
        <f>$D18*Q19</f>
        <v>0</v>
      </c>
      <c r="S19" s="266"/>
      <c r="T19" s="435"/>
      <c r="U19" s="424"/>
      <c r="V19" s="381">
        <f>$D18*U19</f>
        <v>0</v>
      </c>
      <c r="W19" s="380"/>
      <c r="X19" s="381">
        <f>$D18*W19</f>
        <v>0</v>
      </c>
      <c r="Y19" s="380"/>
      <c r="Z19" s="381">
        <f>$D18*Y19</f>
        <v>0</v>
      </c>
      <c r="AA19" s="380"/>
      <c r="AB19" s="382">
        <f>$D18*AA19</f>
        <v>0</v>
      </c>
      <c r="AD19" s="268">
        <f>SUM(AA19,Y19,W19,U19,S19,Q19,O19,M19,K19,I19,G19,E19)</f>
        <v>1</v>
      </c>
    </row>
    <row r="20" spans="1:30" s="255" customFormat="1" ht="9.9499999999999993" customHeight="1" x14ac:dyDescent="0.25">
      <c r="A20" s="269"/>
      <c r="B20" s="270"/>
      <c r="C20" s="271"/>
      <c r="D20" s="272"/>
      <c r="E20" s="273"/>
      <c r="F20" s="274"/>
      <c r="G20" s="275"/>
      <c r="H20" s="276"/>
      <c r="I20" s="275"/>
      <c r="J20" s="276"/>
      <c r="K20" s="275"/>
      <c r="L20" s="276"/>
      <c r="M20" s="275"/>
      <c r="N20" s="276"/>
      <c r="O20" s="275"/>
      <c r="P20" s="276"/>
      <c r="Q20" s="275"/>
      <c r="R20" s="276"/>
      <c r="S20" s="275"/>
      <c r="T20" s="432"/>
      <c r="U20" s="383"/>
      <c r="V20" s="384"/>
      <c r="W20" s="383"/>
      <c r="X20" s="384"/>
      <c r="Y20" s="383"/>
      <c r="Z20" s="384"/>
      <c r="AA20" s="383"/>
      <c r="AB20" s="385"/>
      <c r="AD20" s="277"/>
    </row>
    <row r="21" spans="1:30" ht="9.9499999999999993" customHeight="1" x14ac:dyDescent="0.25">
      <c r="A21" s="505" t="s">
        <v>477</v>
      </c>
      <c r="B21" s="506" t="s">
        <v>288</v>
      </c>
      <c r="C21" s="507">
        <f>D21*1.276/$D$63</f>
        <v>4.2690567970059878E-2</v>
      </c>
      <c r="D21" s="508">
        <f>Orçamento!H39</f>
        <v>23477.828129999998</v>
      </c>
      <c r="E21" s="420"/>
      <c r="F21" s="419"/>
      <c r="G21" s="420"/>
      <c r="H21" s="419"/>
      <c r="I21" s="420"/>
      <c r="J21" s="419"/>
      <c r="K21" s="420"/>
      <c r="L21" s="419"/>
      <c r="M21" s="420"/>
      <c r="N21" s="419"/>
      <c r="O21" s="261"/>
      <c r="P21" s="261"/>
      <c r="Q21" s="259"/>
      <c r="R21" s="260"/>
      <c r="S21" s="259"/>
      <c r="T21" s="433"/>
      <c r="U21" s="376"/>
      <c r="V21" s="378"/>
      <c r="W21" s="378"/>
      <c r="X21" s="378"/>
      <c r="Y21" s="378"/>
      <c r="Z21" s="378"/>
      <c r="AA21" s="376"/>
      <c r="AB21" s="379"/>
      <c r="AD21" s="263"/>
    </row>
    <row r="22" spans="1:30" ht="20.100000000000001" customHeight="1" x14ac:dyDescent="0.25">
      <c r="A22" s="505"/>
      <c r="B22" s="506"/>
      <c r="C22" s="507"/>
      <c r="D22" s="508"/>
      <c r="E22" s="264">
        <v>0.15</v>
      </c>
      <c r="F22" s="265">
        <f>$D21*E22</f>
        <v>3521.6742194999997</v>
      </c>
      <c r="G22" s="266">
        <v>0.25</v>
      </c>
      <c r="H22" s="265">
        <f>$D21*G22</f>
        <v>5869.4570324999995</v>
      </c>
      <c r="I22" s="266">
        <v>0.25</v>
      </c>
      <c r="J22" s="265">
        <f>$D21*I22</f>
        <v>5869.4570324999995</v>
      </c>
      <c r="K22" s="266">
        <v>0.25</v>
      </c>
      <c r="L22" s="265">
        <f>$D21*K22</f>
        <v>5869.4570324999995</v>
      </c>
      <c r="M22" s="266">
        <v>0.1</v>
      </c>
      <c r="N22" s="265">
        <f>$D21*M22</f>
        <v>2347.7828129999998</v>
      </c>
      <c r="O22" s="266"/>
      <c r="P22" s="265">
        <f>$D21*O22</f>
        <v>0</v>
      </c>
      <c r="Q22" s="266"/>
      <c r="R22" s="265">
        <f>$D21*Q22</f>
        <v>0</v>
      </c>
      <c r="S22" s="266"/>
      <c r="T22" s="435"/>
      <c r="U22" s="424"/>
      <c r="V22" s="381"/>
      <c r="W22" s="380"/>
      <c r="X22" s="381">
        <f>$D21*W22</f>
        <v>0</v>
      </c>
      <c r="Y22" s="380"/>
      <c r="Z22" s="381">
        <f>$D21*Y22</f>
        <v>0</v>
      </c>
      <c r="AA22" s="380"/>
      <c r="AB22" s="382">
        <f>$D21*AA22</f>
        <v>0</v>
      </c>
      <c r="AD22" s="268">
        <f>SUM(AA22,Y22,W22,U22,S22,Q22,O22,M22,K22,I22,G22,E22)</f>
        <v>1</v>
      </c>
    </row>
    <row r="23" spans="1:30" s="255" customFormat="1" ht="9.9499999999999993" customHeight="1" x14ac:dyDescent="0.25">
      <c r="A23" s="269"/>
      <c r="B23" s="270"/>
      <c r="C23" s="271"/>
      <c r="D23" s="272"/>
      <c r="E23" s="273"/>
      <c r="F23" s="274"/>
      <c r="G23" s="275"/>
      <c r="H23" s="276"/>
      <c r="I23" s="275"/>
      <c r="J23" s="276"/>
      <c r="K23" s="275"/>
      <c r="L23" s="276"/>
      <c r="M23" s="275"/>
      <c r="N23" s="276"/>
      <c r="O23" s="275"/>
      <c r="P23" s="276"/>
      <c r="Q23" s="275"/>
      <c r="R23" s="276"/>
      <c r="S23" s="275"/>
      <c r="T23" s="432"/>
      <c r="U23" s="383"/>
      <c r="V23" s="384"/>
      <c r="W23" s="383"/>
      <c r="X23" s="384"/>
      <c r="Y23" s="383"/>
      <c r="Z23" s="384"/>
      <c r="AA23" s="383"/>
      <c r="AB23" s="385"/>
      <c r="AD23" s="277"/>
    </row>
    <row r="24" spans="1:30" ht="9.9499999999999993" customHeight="1" x14ac:dyDescent="0.25">
      <c r="A24" s="505" t="s">
        <v>478</v>
      </c>
      <c r="B24" s="506" t="s">
        <v>365</v>
      </c>
      <c r="C24" s="507">
        <f>D24*1.276/$D$63</f>
        <v>1.1282779859151198E-2</v>
      </c>
      <c r="D24" s="508">
        <f>Orçamento!H50</f>
        <v>6205.0045000000009</v>
      </c>
      <c r="E24" s="259"/>
      <c r="F24" s="260"/>
      <c r="G24" s="420"/>
      <c r="H24" s="419"/>
      <c r="I24" s="420"/>
      <c r="J24" s="419"/>
      <c r="K24" s="420"/>
      <c r="L24" s="419"/>
      <c r="M24" s="420"/>
      <c r="N24" s="419"/>
      <c r="O24" s="259"/>
      <c r="P24" s="260"/>
      <c r="Q24" s="259"/>
      <c r="R24" s="260"/>
      <c r="S24" s="259"/>
      <c r="T24" s="436"/>
      <c r="U24" s="376"/>
      <c r="V24" s="378"/>
      <c r="W24" s="378"/>
      <c r="X24" s="378"/>
      <c r="Y24" s="378"/>
      <c r="Z24" s="378"/>
      <c r="AA24" s="376"/>
      <c r="AB24" s="379"/>
      <c r="AD24" s="263"/>
    </row>
    <row r="25" spans="1:30" ht="20.100000000000001" customHeight="1" x14ac:dyDescent="0.25">
      <c r="A25" s="505"/>
      <c r="B25" s="506"/>
      <c r="C25" s="507"/>
      <c r="D25" s="508"/>
      <c r="E25" s="264"/>
      <c r="F25" s="265"/>
      <c r="G25" s="266">
        <v>0.25</v>
      </c>
      <c r="H25" s="265">
        <f>$D24*G25</f>
        <v>1551.2511250000002</v>
      </c>
      <c r="I25" s="266">
        <v>0.25</v>
      </c>
      <c r="J25" s="265">
        <f>$D24*I25</f>
        <v>1551.2511250000002</v>
      </c>
      <c r="K25" s="266">
        <v>0.25</v>
      </c>
      <c r="L25" s="265">
        <f>$D24*K25</f>
        <v>1551.2511250000002</v>
      </c>
      <c r="M25" s="266">
        <v>0.25</v>
      </c>
      <c r="N25" s="265">
        <f>$D24*M25</f>
        <v>1551.2511250000002</v>
      </c>
      <c r="O25" s="266"/>
      <c r="P25" s="265">
        <f>$D24*O25</f>
        <v>0</v>
      </c>
      <c r="Q25" s="266"/>
      <c r="R25" s="265">
        <f>$D24*Q25</f>
        <v>0</v>
      </c>
      <c r="S25" s="266"/>
      <c r="T25" s="435"/>
      <c r="U25" s="424"/>
      <c r="V25" s="381">
        <f>$D24*U25</f>
        <v>0</v>
      </c>
      <c r="W25" s="380"/>
      <c r="X25" s="381">
        <f>$D24*W25</f>
        <v>0</v>
      </c>
      <c r="Y25" s="380"/>
      <c r="Z25" s="381">
        <f>$D24*Y25</f>
        <v>0</v>
      </c>
      <c r="AA25" s="380"/>
      <c r="AB25" s="382">
        <f>$D24*AA25</f>
        <v>0</v>
      </c>
      <c r="AD25" s="268">
        <f>SUM(AA25,Y25,W25,U25,S25,Q25,O25,M25,K25,I25,G25,E25)</f>
        <v>1</v>
      </c>
    </row>
    <row r="26" spans="1:30" s="255" customFormat="1" ht="9.9499999999999993" customHeight="1" x14ac:dyDescent="0.25">
      <c r="A26" s="269"/>
      <c r="B26" s="270"/>
      <c r="C26" s="271"/>
      <c r="D26" s="272"/>
      <c r="E26" s="273"/>
      <c r="F26" s="274"/>
      <c r="G26" s="275"/>
      <c r="H26" s="276"/>
      <c r="I26" s="275"/>
      <c r="J26" s="276"/>
      <c r="K26" s="275"/>
      <c r="L26" s="276"/>
      <c r="M26" s="275"/>
      <c r="N26" s="276"/>
      <c r="O26" s="275"/>
      <c r="P26" s="276"/>
      <c r="Q26" s="275"/>
      <c r="R26" s="276"/>
      <c r="S26" s="275"/>
      <c r="T26" s="432"/>
      <c r="U26" s="383"/>
      <c r="V26" s="384"/>
      <c r="W26" s="383"/>
      <c r="X26" s="384"/>
      <c r="Y26" s="383"/>
      <c r="Z26" s="384"/>
      <c r="AA26" s="383"/>
      <c r="AB26" s="385"/>
      <c r="AD26" s="277"/>
    </row>
    <row r="27" spans="1:30" ht="9.9499999999999993" customHeight="1" x14ac:dyDescent="0.25">
      <c r="A27" s="505" t="s">
        <v>479</v>
      </c>
      <c r="B27" s="506" t="s">
        <v>494</v>
      </c>
      <c r="C27" s="507">
        <f>D27*1.276/$D$63</f>
        <v>8.9250478643174813E-2</v>
      </c>
      <c r="D27" s="508">
        <f>Orçamento!H57</f>
        <v>49083.6149</v>
      </c>
      <c r="E27" s="259"/>
      <c r="F27" s="260"/>
      <c r="G27" s="261"/>
      <c r="H27" s="261"/>
      <c r="I27" s="420"/>
      <c r="J27" s="419"/>
      <c r="K27" s="420"/>
      <c r="L27" s="419"/>
      <c r="M27" s="420"/>
      <c r="N27" s="419"/>
      <c r="O27" s="420"/>
      <c r="P27" s="419"/>
      <c r="Q27" s="259"/>
      <c r="R27" s="260"/>
      <c r="S27" s="259"/>
      <c r="T27" s="436"/>
      <c r="U27" s="376"/>
      <c r="V27" s="378"/>
      <c r="W27" s="378"/>
      <c r="X27" s="378"/>
      <c r="Y27" s="378"/>
      <c r="Z27" s="378"/>
      <c r="AA27" s="376"/>
      <c r="AB27" s="379"/>
      <c r="AD27" s="263"/>
    </row>
    <row r="28" spans="1:30" ht="20.100000000000001" customHeight="1" x14ac:dyDescent="0.25">
      <c r="A28" s="505"/>
      <c r="B28" s="506"/>
      <c r="C28" s="507"/>
      <c r="D28" s="508"/>
      <c r="E28" s="264"/>
      <c r="F28" s="265"/>
      <c r="G28" s="266"/>
      <c r="H28" s="265"/>
      <c r="I28" s="266">
        <v>0.25</v>
      </c>
      <c r="J28" s="265">
        <f>$D27*I28</f>
        <v>12270.903725</v>
      </c>
      <c r="K28" s="266">
        <v>0.3</v>
      </c>
      <c r="L28" s="265">
        <f>$D27*K28</f>
        <v>14725.08447</v>
      </c>
      <c r="M28" s="266">
        <v>0.3</v>
      </c>
      <c r="N28" s="265">
        <f>$D27*M28</f>
        <v>14725.08447</v>
      </c>
      <c r="O28" s="266">
        <v>0.15</v>
      </c>
      <c r="P28" s="265">
        <f>$D27*O28</f>
        <v>7362.5422349999999</v>
      </c>
      <c r="Q28" s="266"/>
      <c r="R28" s="265">
        <f>$D27*Q28</f>
        <v>0</v>
      </c>
      <c r="S28" s="266"/>
      <c r="T28" s="435"/>
      <c r="U28" s="424"/>
      <c r="V28" s="381">
        <f>$D27*U28</f>
        <v>0</v>
      </c>
      <c r="W28" s="380"/>
      <c r="X28" s="381">
        <f>$D27*W28</f>
        <v>0</v>
      </c>
      <c r="Y28" s="380"/>
      <c r="Z28" s="381">
        <f>$D27*Y28</f>
        <v>0</v>
      </c>
      <c r="AA28" s="380"/>
      <c r="AB28" s="382">
        <f>$D27*AA28</f>
        <v>0</v>
      </c>
      <c r="AD28" s="268">
        <f>SUM(AA28,Y28,W28,U28,S28,Q28,O28,M28,K28,I28,G28,E28)</f>
        <v>1</v>
      </c>
    </row>
    <row r="29" spans="1:30" s="255" customFormat="1" ht="9.9499999999999993" customHeight="1" x14ac:dyDescent="0.25">
      <c r="A29" s="269"/>
      <c r="B29" s="270"/>
      <c r="C29" s="271"/>
      <c r="D29" s="272"/>
      <c r="E29" s="273"/>
      <c r="F29" s="274"/>
      <c r="G29" s="275"/>
      <c r="H29" s="276"/>
      <c r="I29" s="275"/>
      <c r="J29" s="276"/>
      <c r="K29" s="275"/>
      <c r="L29" s="276"/>
      <c r="M29" s="275"/>
      <c r="N29" s="276"/>
      <c r="O29" s="275"/>
      <c r="P29" s="276"/>
      <c r="Q29" s="275"/>
      <c r="R29" s="276"/>
      <c r="S29" s="275"/>
      <c r="T29" s="432"/>
      <c r="U29" s="383"/>
      <c r="V29" s="384"/>
      <c r="W29" s="383"/>
      <c r="X29" s="384"/>
      <c r="Y29" s="383"/>
      <c r="Z29" s="384"/>
      <c r="AA29" s="383"/>
      <c r="AB29" s="385"/>
      <c r="AD29" s="277"/>
    </row>
    <row r="30" spans="1:30" ht="9.9499999999999993" customHeight="1" x14ac:dyDescent="0.25">
      <c r="A30" s="505" t="s">
        <v>480</v>
      </c>
      <c r="B30" s="506" t="s">
        <v>534</v>
      </c>
      <c r="C30" s="507">
        <f>D30*1.276/$D$63</f>
        <v>5.4401506503346337E-3</v>
      </c>
      <c r="D30" s="508">
        <f>Orçamento!H62</f>
        <v>2991.83</v>
      </c>
      <c r="E30" s="259"/>
      <c r="F30" s="260"/>
      <c r="G30" s="261"/>
      <c r="H30" s="261"/>
      <c r="I30" s="420"/>
      <c r="J30" s="419"/>
      <c r="K30" s="420"/>
      <c r="L30" s="419"/>
      <c r="M30" s="420"/>
      <c r="N30" s="419"/>
      <c r="O30" s="261"/>
      <c r="P30" s="261"/>
      <c r="Q30" s="259"/>
      <c r="R30" s="260"/>
      <c r="S30" s="259"/>
      <c r="T30" s="433"/>
      <c r="U30" s="376"/>
      <c r="V30" s="378"/>
      <c r="W30" s="378"/>
      <c r="X30" s="378"/>
      <c r="Y30" s="378"/>
      <c r="Z30" s="378"/>
      <c r="AA30" s="376"/>
      <c r="AB30" s="379"/>
      <c r="AD30" s="263"/>
    </row>
    <row r="31" spans="1:30" ht="20.100000000000001" customHeight="1" x14ac:dyDescent="0.25">
      <c r="A31" s="505"/>
      <c r="B31" s="506"/>
      <c r="C31" s="507"/>
      <c r="D31" s="508"/>
      <c r="E31" s="264"/>
      <c r="F31" s="265"/>
      <c r="G31" s="266"/>
      <c r="H31" s="265"/>
      <c r="I31" s="266">
        <f>1/3</f>
        <v>0.33333333333333331</v>
      </c>
      <c r="J31" s="265">
        <f>$D30*I31</f>
        <v>997.27666666666664</v>
      </c>
      <c r="K31" s="266">
        <f>1/3</f>
        <v>0.33333333333333331</v>
      </c>
      <c r="L31" s="265">
        <f>$D30*K31</f>
        <v>997.27666666666664</v>
      </c>
      <c r="M31" s="266">
        <f>1/3</f>
        <v>0.33333333333333331</v>
      </c>
      <c r="N31" s="265">
        <f>$D30*M31</f>
        <v>997.27666666666664</v>
      </c>
      <c r="O31" s="266"/>
      <c r="P31" s="265">
        <f>$D30*O31</f>
        <v>0</v>
      </c>
      <c r="Q31" s="266"/>
      <c r="R31" s="265">
        <f>$D30*Q31</f>
        <v>0</v>
      </c>
      <c r="S31" s="266"/>
      <c r="T31" s="435"/>
      <c r="U31" s="424"/>
      <c r="V31" s="381">
        <f>$D30*U31</f>
        <v>0</v>
      </c>
      <c r="W31" s="380"/>
      <c r="X31" s="381">
        <f>$D30*W31</f>
        <v>0</v>
      </c>
      <c r="Y31" s="380"/>
      <c r="Z31" s="381">
        <f>$D30*Y31</f>
        <v>0</v>
      </c>
      <c r="AA31" s="380"/>
      <c r="AB31" s="382">
        <f>$D30*AA31</f>
        <v>0</v>
      </c>
      <c r="AD31" s="268">
        <f>SUM(AA31,Y31,W31,U31,S31,Q31,O31,M31,K31,I31,G31,E31)</f>
        <v>1</v>
      </c>
    </row>
    <row r="32" spans="1:30" s="255" customFormat="1" ht="9.9499999999999993" customHeight="1" x14ac:dyDescent="0.25">
      <c r="A32" s="269"/>
      <c r="B32" s="270"/>
      <c r="C32" s="271"/>
      <c r="D32" s="272"/>
      <c r="E32" s="273"/>
      <c r="F32" s="274"/>
      <c r="G32" s="275"/>
      <c r="H32" s="276"/>
      <c r="I32" s="275"/>
      <c r="J32" s="276"/>
      <c r="K32" s="275"/>
      <c r="L32" s="276"/>
      <c r="M32" s="275"/>
      <c r="N32" s="276"/>
      <c r="O32" s="275"/>
      <c r="P32" s="276"/>
      <c r="Q32" s="275"/>
      <c r="R32" s="276"/>
      <c r="S32" s="275"/>
      <c r="T32" s="432"/>
      <c r="U32" s="383"/>
      <c r="V32" s="384"/>
      <c r="W32" s="383"/>
      <c r="X32" s="384"/>
      <c r="Y32" s="383"/>
      <c r="Z32" s="384"/>
      <c r="AA32" s="383"/>
      <c r="AB32" s="385"/>
      <c r="AD32" s="277"/>
    </row>
    <row r="33" spans="1:30" ht="9.9499999999999993" customHeight="1" x14ac:dyDescent="0.25">
      <c r="A33" s="505" t="s">
        <v>610</v>
      </c>
      <c r="B33" s="506" t="s">
        <v>496</v>
      </c>
      <c r="C33" s="507">
        <f>D33*1.276/$D$63</f>
        <v>0.23360726917021765</v>
      </c>
      <c r="D33" s="508">
        <f>Orçamento!H66</f>
        <v>128473.13999999998</v>
      </c>
      <c r="E33" s="420"/>
      <c r="F33" s="419"/>
      <c r="G33" s="420"/>
      <c r="H33" s="419"/>
      <c r="I33" s="420"/>
      <c r="J33" s="419"/>
      <c r="K33" s="420"/>
      <c r="L33" s="419"/>
      <c r="M33" s="420"/>
      <c r="N33" s="419"/>
      <c r="O33" s="420"/>
      <c r="P33" s="419"/>
      <c r="Q33" s="420"/>
      <c r="R33" s="419"/>
      <c r="S33" s="420"/>
      <c r="T33" s="437"/>
      <c r="U33" s="376"/>
      <c r="V33" s="378"/>
      <c r="W33" s="378"/>
      <c r="X33" s="378"/>
      <c r="Y33" s="378"/>
      <c r="Z33" s="378"/>
      <c r="AA33" s="376"/>
      <c r="AB33" s="379"/>
      <c r="AD33" s="263"/>
    </row>
    <row r="34" spans="1:30" ht="20.100000000000001" customHeight="1" x14ac:dyDescent="0.25">
      <c r="A34" s="505"/>
      <c r="B34" s="506"/>
      <c r="C34" s="507"/>
      <c r="D34" s="508"/>
      <c r="E34" s="264">
        <v>0.1</v>
      </c>
      <c r="F34" s="265">
        <f>$D33*E34</f>
        <v>12847.313999999998</v>
      </c>
      <c r="G34" s="266">
        <v>0.1</v>
      </c>
      <c r="H34" s="265">
        <f>$D33*G34</f>
        <v>12847.313999999998</v>
      </c>
      <c r="I34" s="266">
        <v>0.1</v>
      </c>
      <c r="J34" s="265">
        <f>$D33*I34</f>
        <v>12847.313999999998</v>
      </c>
      <c r="K34" s="266">
        <v>0.15</v>
      </c>
      <c r="L34" s="265">
        <f>$D33*K34</f>
        <v>19270.970999999998</v>
      </c>
      <c r="M34" s="266">
        <v>0.15</v>
      </c>
      <c r="N34" s="265">
        <f>$D33*M34</f>
        <v>19270.970999999998</v>
      </c>
      <c r="O34" s="266">
        <v>0.15</v>
      </c>
      <c r="P34" s="265">
        <f>$D33*O34</f>
        <v>19270.970999999998</v>
      </c>
      <c r="Q34" s="266">
        <v>0.15</v>
      </c>
      <c r="R34" s="265">
        <f>$D33*Q34</f>
        <v>19270.970999999998</v>
      </c>
      <c r="S34" s="266">
        <v>0.1</v>
      </c>
      <c r="T34" s="431">
        <f>$D33*S34</f>
        <v>12847.313999999998</v>
      </c>
      <c r="U34" s="424"/>
      <c r="V34" s="381">
        <f>$D33*U34</f>
        <v>0</v>
      </c>
      <c r="W34" s="380"/>
      <c r="X34" s="381">
        <f>$D33*W34</f>
        <v>0</v>
      </c>
      <c r="Y34" s="380"/>
      <c r="Z34" s="381">
        <f>$D33*Y34</f>
        <v>0</v>
      </c>
      <c r="AA34" s="380"/>
      <c r="AB34" s="382">
        <f>$D33*AA34</f>
        <v>0</v>
      </c>
      <c r="AD34" s="268">
        <f>SUM(AA34,Y34,W34,U34,S34,Q34,O34,M34,K34,I34,G34,E34)</f>
        <v>1</v>
      </c>
    </row>
    <row r="35" spans="1:30" s="255" customFormat="1" ht="9.9499999999999993" customHeight="1" x14ac:dyDescent="0.25">
      <c r="A35" s="269"/>
      <c r="B35" s="270"/>
      <c r="C35" s="271"/>
      <c r="D35" s="272"/>
      <c r="E35" s="273"/>
      <c r="F35" s="274"/>
      <c r="G35" s="275"/>
      <c r="H35" s="276"/>
      <c r="I35" s="275"/>
      <c r="J35" s="276"/>
      <c r="K35" s="275"/>
      <c r="L35" s="276"/>
      <c r="M35" s="275"/>
      <c r="N35" s="276"/>
      <c r="O35" s="275"/>
      <c r="P35" s="276"/>
      <c r="Q35" s="275"/>
      <c r="R35" s="276"/>
      <c r="S35" s="275"/>
      <c r="T35" s="432"/>
      <c r="U35" s="383"/>
      <c r="V35" s="384"/>
      <c r="W35" s="383"/>
      <c r="X35" s="384"/>
      <c r="Y35" s="383"/>
      <c r="Z35" s="384"/>
      <c r="AA35" s="383"/>
      <c r="AB35" s="385"/>
      <c r="AD35" s="277"/>
    </row>
    <row r="36" spans="1:30" ht="9.9499999999999993" customHeight="1" x14ac:dyDescent="0.25">
      <c r="A36" s="505" t="s">
        <v>481</v>
      </c>
      <c r="B36" s="506" t="s">
        <v>495</v>
      </c>
      <c r="C36" s="507">
        <f>D36*1.276/$D$63</f>
        <v>9.0028335469922467E-3</v>
      </c>
      <c r="D36" s="508">
        <f>Orçamento!H102</f>
        <v>4951.1399999999994</v>
      </c>
      <c r="E36" s="259"/>
      <c r="F36" s="260"/>
      <c r="G36" s="261"/>
      <c r="H36" s="261"/>
      <c r="I36" s="259"/>
      <c r="J36" s="260"/>
      <c r="K36" s="420"/>
      <c r="L36" s="419"/>
      <c r="M36" s="420"/>
      <c r="N36" s="419"/>
      <c r="O36" s="420"/>
      <c r="P36" s="419"/>
      <c r="Q36" s="420"/>
      <c r="R36" s="419"/>
      <c r="S36" s="259"/>
      <c r="T36" s="436"/>
      <c r="U36" s="376"/>
      <c r="V36" s="378"/>
      <c r="W36" s="378"/>
      <c r="X36" s="378"/>
      <c r="Y36" s="378"/>
      <c r="Z36" s="378"/>
      <c r="AA36" s="376"/>
      <c r="AB36" s="379"/>
      <c r="AD36" s="263"/>
    </row>
    <row r="37" spans="1:30" ht="20.100000000000001" customHeight="1" x14ac:dyDescent="0.25">
      <c r="A37" s="505"/>
      <c r="B37" s="506"/>
      <c r="C37" s="507"/>
      <c r="D37" s="508"/>
      <c r="E37" s="264"/>
      <c r="F37" s="265"/>
      <c r="G37" s="266"/>
      <c r="H37" s="265"/>
      <c r="I37" s="266"/>
      <c r="J37" s="265"/>
      <c r="K37" s="266">
        <v>0.2</v>
      </c>
      <c r="L37" s="265">
        <f>$D36*K37</f>
        <v>990.22799999999995</v>
      </c>
      <c r="M37" s="266">
        <v>0.3</v>
      </c>
      <c r="N37" s="265">
        <f>$D36*M37</f>
        <v>1485.3419999999999</v>
      </c>
      <c r="O37" s="266">
        <v>0.3</v>
      </c>
      <c r="P37" s="265">
        <f>$D36*O37</f>
        <v>1485.3419999999999</v>
      </c>
      <c r="Q37" s="266">
        <v>0.2</v>
      </c>
      <c r="R37" s="265">
        <f>$D36*Q37</f>
        <v>990.22799999999995</v>
      </c>
      <c r="S37" s="266"/>
      <c r="T37" s="431">
        <f>$D36*S37</f>
        <v>0</v>
      </c>
      <c r="U37" s="424"/>
      <c r="V37" s="381">
        <f>$D36*U37</f>
        <v>0</v>
      </c>
      <c r="W37" s="380"/>
      <c r="X37" s="381">
        <f>$D36*W37</f>
        <v>0</v>
      </c>
      <c r="Y37" s="380"/>
      <c r="Z37" s="381">
        <f>$D36*Y37</f>
        <v>0</v>
      </c>
      <c r="AA37" s="380"/>
      <c r="AB37" s="382">
        <f>$D36*AA37</f>
        <v>0</v>
      </c>
      <c r="AD37" s="268">
        <f>SUM(AA37,Y37,W37,U37,S37,Q37,O37,M37,K37,I37,G37,E37)</f>
        <v>1</v>
      </c>
    </row>
    <row r="38" spans="1:30" ht="9.75" customHeight="1" x14ac:dyDescent="0.25">
      <c r="A38" s="409"/>
      <c r="B38" s="410"/>
      <c r="C38" s="411"/>
      <c r="D38" s="412"/>
      <c r="E38" s="413"/>
      <c r="F38" s="274"/>
      <c r="G38" s="414"/>
      <c r="H38" s="274"/>
      <c r="I38" s="414"/>
      <c r="J38" s="274"/>
      <c r="K38" s="414"/>
      <c r="L38" s="274"/>
      <c r="M38" s="414"/>
      <c r="N38" s="274"/>
      <c r="O38" s="414"/>
      <c r="P38" s="274"/>
      <c r="Q38" s="414"/>
      <c r="R38" s="274"/>
      <c r="S38" s="414"/>
      <c r="T38" s="438"/>
      <c r="U38" s="415"/>
      <c r="V38" s="416"/>
      <c r="W38" s="415"/>
      <c r="X38" s="416"/>
      <c r="Y38" s="415"/>
      <c r="Z38" s="416"/>
      <c r="AA38" s="415"/>
      <c r="AB38" s="417"/>
      <c r="AD38" s="268"/>
    </row>
    <row r="39" spans="1:30" ht="9.75" customHeight="1" x14ac:dyDescent="0.25">
      <c r="A39" s="505" t="s">
        <v>482</v>
      </c>
      <c r="B39" s="506" t="s">
        <v>493</v>
      </c>
      <c r="C39" s="507">
        <f>D39*1.276/$D$63</f>
        <v>8.1795879753999694E-3</v>
      </c>
      <c r="D39" s="508">
        <f>Orçamento!H106</f>
        <v>4498.3931999999995</v>
      </c>
      <c r="E39" s="259"/>
      <c r="F39" s="260"/>
      <c r="G39" s="261"/>
      <c r="H39" s="261"/>
      <c r="I39" s="259"/>
      <c r="J39" s="260"/>
      <c r="K39" s="261"/>
      <c r="L39" s="261"/>
      <c r="M39" s="420"/>
      <c r="N39" s="419"/>
      <c r="O39" s="420"/>
      <c r="P39" s="419"/>
      <c r="Q39" s="420"/>
      <c r="R39" s="419"/>
      <c r="S39" s="259"/>
      <c r="T39" s="436"/>
      <c r="U39" s="415"/>
      <c r="V39" s="416"/>
      <c r="W39" s="415"/>
      <c r="X39" s="416"/>
      <c r="Y39" s="415"/>
      <c r="Z39" s="416"/>
      <c r="AA39" s="415"/>
      <c r="AB39" s="417"/>
      <c r="AD39" s="268"/>
    </row>
    <row r="40" spans="1:30" ht="20.100000000000001" customHeight="1" x14ac:dyDescent="0.25">
      <c r="A40" s="505"/>
      <c r="B40" s="506"/>
      <c r="C40" s="507"/>
      <c r="D40" s="508"/>
      <c r="E40" s="264"/>
      <c r="F40" s="265"/>
      <c r="G40" s="266"/>
      <c r="H40" s="265"/>
      <c r="I40" s="266"/>
      <c r="J40" s="265"/>
      <c r="K40" s="266"/>
      <c r="L40" s="265"/>
      <c r="M40" s="266">
        <f>1/3</f>
        <v>0.33333333333333331</v>
      </c>
      <c r="N40" s="265">
        <f>$D39*M40</f>
        <v>1499.4643999999998</v>
      </c>
      <c r="O40" s="266">
        <f>1/3</f>
        <v>0.33333333333333331</v>
      </c>
      <c r="P40" s="265">
        <f>$D39*O40</f>
        <v>1499.4643999999998</v>
      </c>
      <c r="Q40" s="266">
        <f>1/3</f>
        <v>0.33333333333333331</v>
      </c>
      <c r="R40" s="265">
        <f>$D39*Q40</f>
        <v>1499.4643999999998</v>
      </c>
      <c r="S40" s="266"/>
      <c r="T40" s="431">
        <f>$D39*S40</f>
        <v>0</v>
      </c>
      <c r="U40" s="415"/>
      <c r="V40" s="416"/>
      <c r="W40" s="415"/>
      <c r="X40" s="416"/>
      <c r="Y40" s="415"/>
      <c r="Z40" s="416"/>
      <c r="AA40" s="415"/>
      <c r="AB40" s="417"/>
      <c r="AD40" s="268"/>
    </row>
    <row r="41" spans="1:30" s="255" customFormat="1" ht="9.9499999999999993" customHeight="1" x14ac:dyDescent="0.25">
      <c r="A41" s="269"/>
      <c r="B41" s="270"/>
      <c r="C41" s="271"/>
      <c r="D41" s="272"/>
      <c r="E41" s="273"/>
      <c r="F41" s="274"/>
      <c r="G41" s="275"/>
      <c r="H41" s="276"/>
      <c r="I41" s="275"/>
      <c r="J41" s="276"/>
      <c r="K41" s="275"/>
      <c r="L41" s="276"/>
      <c r="M41" s="275"/>
      <c r="N41" s="276"/>
      <c r="O41" s="275"/>
      <c r="P41" s="276"/>
      <c r="Q41" s="275"/>
      <c r="R41" s="276"/>
      <c r="S41" s="275"/>
      <c r="T41" s="432"/>
      <c r="U41" s="383"/>
      <c r="V41" s="384"/>
      <c r="W41" s="383"/>
      <c r="X41" s="384"/>
      <c r="Y41" s="383"/>
      <c r="Z41" s="384"/>
      <c r="AA41" s="383"/>
      <c r="AB41" s="385"/>
      <c r="AD41" s="277"/>
    </row>
    <row r="42" spans="1:30" ht="9.9499999999999993" customHeight="1" x14ac:dyDescent="0.25">
      <c r="A42" s="505" t="s">
        <v>483</v>
      </c>
      <c r="B42" s="506" t="s">
        <v>379</v>
      </c>
      <c r="C42" s="507">
        <f>D42*1.276/$D$63</f>
        <v>1.0905976197699754E-2</v>
      </c>
      <c r="D42" s="508">
        <f>Orçamento!H110</f>
        <v>5997.78</v>
      </c>
      <c r="E42" s="259"/>
      <c r="F42" s="260"/>
      <c r="G42" s="261"/>
      <c r="H42" s="261"/>
      <c r="I42" s="259"/>
      <c r="J42" s="260"/>
      <c r="K42" s="261"/>
      <c r="L42" s="261"/>
      <c r="M42" s="259"/>
      <c r="N42" s="260"/>
      <c r="O42" s="421"/>
      <c r="P42" s="421"/>
      <c r="Q42" s="420"/>
      <c r="R42" s="419"/>
      <c r="S42" s="420"/>
      <c r="T42" s="439"/>
      <c r="U42" s="376"/>
      <c r="V42" s="378"/>
      <c r="W42" s="378"/>
      <c r="X42" s="378"/>
      <c r="Y42" s="378"/>
      <c r="Z42" s="378"/>
      <c r="AA42" s="376"/>
      <c r="AB42" s="379"/>
      <c r="AD42" s="263"/>
    </row>
    <row r="43" spans="1:30" ht="20.100000000000001" customHeight="1" x14ac:dyDescent="0.25">
      <c r="A43" s="505"/>
      <c r="B43" s="506"/>
      <c r="C43" s="507"/>
      <c r="D43" s="508"/>
      <c r="E43" s="264"/>
      <c r="F43" s="265"/>
      <c r="G43" s="266"/>
      <c r="H43" s="265"/>
      <c r="I43" s="266"/>
      <c r="J43" s="265"/>
      <c r="K43" s="266"/>
      <c r="L43" s="265"/>
      <c r="M43" s="266"/>
      <c r="N43" s="265">
        <f>$D42*M43</f>
        <v>0</v>
      </c>
      <c r="O43" s="266">
        <v>0.25</v>
      </c>
      <c r="P43" s="265">
        <f>$D42*O43</f>
        <v>1499.4449999999999</v>
      </c>
      <c r="Q43" s="266">
        <v>0.5</v>
      </c>
      <c r="R43" s="265">
        <f>$D42*Q43</f>
        <v>2998.89</v>
      </c>
      <c r="S43" s="266">
        <v>0.25</v>
      </c>
      <c r="T43" s="431">
        <f>$D42*S43</f>
        <v>1499.4449999999999</v>
      </c>
      <c r="U43" s="424"/>
      <c r="V43" s="381">
        <f>$D42*U43</f>
        <v>0</v>
      </c>
      <c r="W43" s="380"/>
      <c r="X43" s="381">
        <f>$D42*W43</f>
        <v>0</v>
      </c>
      <c r="Y43" s="380"/>
      <c r="Z43" s="381">
        <f>$D42*Y43</f>
        <v>0</v>
      </c>
      <c r="AA43" s="380"/>
      <c r="AB43" s="382">
        <f>$D42*AA43</f>
        <v>0</v>
      </c>
      <c r="AD43" s="268">
        <f>SUM(AA43,Y43,W43,U43,S43,Q43,O43,M43,K43,I43,G43,E43)</f>
        <v>1</v>
      </c>
    </row>
    <row r="44" spans="1:30" ht="9.9499999999999993" customHeight="1" x14ac:dyDescent="0.25">
      <c r="A44" s="269"/>
      <c r="B44" s="270"/>
      <c r="C44" s="271"/>
      <c r="D44" s="272"/>
      <c r="E44" s="273"/>
      <c r="F44" s="274"/>
      <c r="G44" s="275"/>
      <c r="H44" s="276"/>
      <c r="I44" s="275"/>
      <c r="J44" s="276"/>
      <c r="K44" s="275"/>
      <c r="L44" s="276"/>
      <c r="M44" s="275"/>
      <c r="N44" s="276"/>
      <c r="O44" s="275"/>
      <c r="P44" s="276"/>
      <c r="Q44" s="275"/>
      <c r="R44" s="276"/>
      <c r="S44" s="275"/>
      <c r="T44" s="432"/>
      <c r="U44" s="383"/>
      <c r="V44" s="384"/>
      <c r="W44" s="383"/>
      <c r="X44" s="384"/>
      <c r="Y44" s="383"/>
      <c r="Z44" s="384"/>
      <c r="AA44" s="383"/>
      <c r="AB44" s="385"/>
      <c r="AD44" s="277"/>
    </row>
    <row r="45" spans="1:30" ht="9.9499999999999993" customHeight="1" x14ac:dyDescent="0.25">
      <c r="A45" s="505" t="s">
        <v>484</v>
      </c>
      <c r="B45" s="510" t="s">
        <v>323</v>
      </c>
      <c r="C45" s="512">
        <f>D45*1.276/$D$63</f>
        <v>7.6582723144867623E-2</v>
      </c>
      <c r="D45" s="514">
        <f>Orçamento!H121</f>
        <v>42116.938171999995</v>
      </c>
      <c r="E45" s="351"/>
      <c r="F45" s="352"/>
      <c r="G45" s="353"/>
      <c r="H45" s="353"/>
      <c r="I45" s="351"/>
      <c r="J45" s="352"/>
      <c r="K45" s="353"/>
      <c r="L45" s="353"/>
      <c r="M45" s="422"/>
      <c r="N45" s="423"/>
      <c r="O45" s="420"/>
      <c r="P45" s="419"/>
      <c r="Q45" s="420"/>
      <c r="R45" s="419"/>
      <c r="S45" s="420"/>
      <c r="T45" s="439"/>
      <c r="U45" s="376"/>
      <c r="V45" s="378"/>
      <c r="W45" s="378"/>
      <c r="X45" s="378"/>
      <c r="Y45" s="378"/>
      <c r="Z45" s="378"/>
      <c r="AA45" s="376"/>
      <c r="AB45" s="379"/>
      <c r="AD45" s="354"/>
    </row>
    <row r="46" spans="1:30" ht="20.100000000000001" customHeight="1" x14ac:dyDescent="0.25">
      <c r="A46" s="505"/>
      <c r="B46" s="511"/>
      <c r="C46" s="513"/>
      <c r="D46" s="515"/>
      <c r="E46" s="264"/>
      <c r="F46" s="265"/>
      <c r="G46" s="266"/>
      <c r="H46" s="265"/>
      <c r="I46" s="266"/>
      <c r="J46" s="265"/>
      <c r="K46" s="266"/>
      <c r="L46" s="265"/>
      <c r="M46" s="266">
        <v>0.3</v>
      </c>
      <c r="N46" s="265">
        <f>$D45*M46</f>
        <v>12635.081451599997</v>
      </c>
      <c r="O46" s="266">
        <v>0.3</v>
      </c>
      <c r="P46" s="265">
        <f>$D45*O46</f>
        <v>12635.081451599997</v>
      </c>
      <c r="Q46" s="266">
        <v>0.25</v>
      </c>
      <c r="R46" s="265">
        <f>$D45*Q46</f>
        <v>10529.234542999999</v>
      </c>
      <c r="S46" s="266">
        <v>0.15</v>
      </c>
      <c r="T46" s="431">
        <f>$D45*S46</f>
        <v>6317.5407257999987</v>
      </c>
      <c r="U46" s="424"/>
      <c r="V46" s="381">
        <f>$D45*U46</f>
        <v>0</v>
      </c>
      <c r="W46" s="380"/>
      <c r="X46" s="381">
        <f>$D45*W46</f>
        <v>0</v>
      </c>
      <c r="Y46" s="380"/>
      <c r="Z46" s="381">
        <f>$D45*Y46</f>
        <v>0</v>
      </c>
      <c r="AA46" s="380"/>
      <c r="AB46" s="382">
        <f>$D45*AA46</f>
        <v>0</v>
      </c>
      <c r="AD46" s="355">
        <f>SUM(AA46,Y46,W46,U46,S46,Q46,O46,M46,K46,I46,G46,E46)</f>
        <v>1</v>
      </c>
    </row>
    <row r="47" spans="1:30" ht="9.9499999999999993" customHeight="1" x14ac:dyDescent="0.25">
      <c r="A47" s="335"/>
      <c r="B47" s="336"/>
      <c r="C47" s="337"/>
      <c r="D47" s="338"/>
      <c r="E47" s="339"/>
      <c r="F47" s="340"/>
      <c r="G47" s="341"/>
      <c r="H47" s="342"/>
      <c r="I47" s="341"/>
      <c r="J47" s="342"/>
      <c r="K47" s="341"/>
      <c r="L47" s="342"/>
      <c r="M47" s="341"/>
      <c r="N47" s="342"/>
      <c r="O47" s="341"/>
      <c r="P47" s="342"/>
      <c r="Q47" s="341"/>
      <c r="R47" s="342"/>
      <c r="S47" s="341"/>
      <c r="T47" s="440"/>
      <c r="U47" s="383"/>
      <c r="V47" s="384"/>
      <c r="W47" s="383"/>
      <c r="X47" s="384"/>
      <c r="Y47" s="383"/>
      <c r="Z47" s="384"/>
      <c r="AA47" s="383"/>
      <c r="AB47" s="385"/>
      <c r="AD47" s="277"/>
    </row>
    <row r="48" spans="1:30" ht="9.9499999999999993" customHeight="1" x14ac:dyDescent="0.25">
      <c r="A48" s="505" t="s">
        <v>485</v>
      </c>
      <c r="B48" s="506" t="s">
        <v>580</v>
      </c>
      <c r="C48" s="507">
        <f>D48*1.276/$D$63</f>
        <v>0.13566975330401987</v>
      </c>
      <c r="D48" s="508">
        <f>Orçamento!H149</f>
        <v>74612.058400000024</v>
      </c>
      <c r="E48" s="351"/>
      <c r="F48" s="352"/>
      <c r="G48" s="353"/>
      <c r="H48" s="353"/>
      <c r="I48" s="351"/>
      <c r="J48" s="352"/>
      <c r="K48" s="367"/>
      <c r="L48" s="353"/>
      <c r="M48" s="351"/>
      <c r="N48" s="352"/>
      <c r="O48" s="420"/>
      <c r="P48" s="419"/>
      <c r="Q48" s="420"/>
      <c r="R48" s="419"/>
      <c r="S48" s="420"/>
      <c r="T48" s="437"/>
      <c r="U48" s="376"/>
      <c r="V48" s="378"/>
      <c r="W48" s="378"/>
      <c r="X48" s="378"/>
      <c r="Y48" s="378"/>
      <c r="Z48" s="378"/>
      <c r="AA48" s="376"/>
      <c r="AB48" s="379"/>
      <c r="AD48" s="354"/>
    </row>
    <row r="49" spans="1:30" ht="20.100000000000001" customHeight="1" x14ac:dyDescent="0.25">
      <c r="A49" s="505"/>
      <c r="B49" s="506"/>
      <c r="C49" s="507"/>
      <c r="D49" s="508"/>
      <c r="E49" s="264"/>
      <c r="F49" s="265"/>
      <c r="G49" s="266"/>
      <c r="H49" s="265"/>
      <c r="I49" s="266"/>
      <c r="J49" s="265"/>
      <c r="K49" s="266"/>
      <c r="L49" s="265"/>
      <c r="M49" s="266"/>
      <c r="N49" s="265">
        <f>$D48*M49</f>
        <v>0</v>
      </c>
      <c r="O49" s="266">
        <v>0.4</v>
      </c>
      <c r="P49" s="265">
        <f>$D48*O49</f>
        <v>29844.823360000009</v>
      </c>
      <c r="Q49" s="266">
        <v>0.3</v>
      </c>
      <c r="R49" s="265">
        <f>$D48*Q49</f>
        <v>22383.617520000007</v>
      </c>
      <c r="S49" s="266">
        <v>0.3</v>
      </c>
      <c r="T49" s="431">
        <f>$D48*S49</f>
        <v>22383.617520000007</v>
      </c>
      <c r="U49" s="424"/>
      <c r="V49" s="381">
        <f>$D48*U49</f>
        <v>0</v>
      </c>
      <c r="W49" s="380"/>
      <c r="X49" s="381">
        <f>$D48*W49</f>
        <v>0</v>
      </c>
      <c r="Y49" s="380"/>
      <c r="Z49" s="381">
        <f>$D48*Y49</f>
        <v>0</v>
      </c>
      <c r="AA49" s="380"/>
      <c r="AB49" s="382">
        <f>$D48*AA49</f>
        <v>0</v>
      </c>
      <c r="AD49" s="355">
        <f>SUM(AA49,Y49,W49,U49,S49,Q49,O49,M49,K49,I49,G49,E49)</f>
        <v>1</v>
      </c>
    </row>
    <row r="50" spans="1:30" ht="9.9499999999999993" customHeight="1" x14ac:dyDescent="0.25">
      <c r="A50" s="269"/>
      <c r="B50" s="270"/>
      <c r="C50" s="271"/>
      <c r="D50" s="272"/>
      <c r="E50" s="273"/>
      <c r="F50" s="274"/>
      <c r="G50" s="275"/>
      <c r="H50" s="276"/>
      <c r="I50" s="275"/>
      <c r="J50" s="276"/>
      <c r="K50" s="275"/>
      <c r="L50" s="276"/>
      <c r="M50" s="275"/>
      <c r="N50" s="276"/>
      <c r="O50" s="275"/>
      <c r="P50" s="276"/>
      <c r="Q50" s="275"/>
      <c r="R50" s="276"/>
      <c r="S50" s="275"/>
      <c r="T50" s="432"/>
      <c r="U50" s="383"/>
      <c r="V50" s="384"/>
      <c r="W50" s="383"/>
      <c r="X50" s="384"/>
      <c r="Y50" s="383"/>
      <c r="Z50" s="384"/>
      <c r="AA50" s="383"/>
      <c r="AB50" s="384"/>
      <c r="AC50" s="255"/>
      <c r="AD50" s="368"/>
    </row>
    <row r="51" spans="1:30" ht="9.9499999999999993" customHeight="1" x14ac:dyDescent="0.25">
      <c r="A51" s="505" t="s">
        <v>486</v>
      </c>
      <c r="B51" s="506" t="s">
        <v>325</v>
      </c>
      <c r="C51" s="507">
        <f>D51*1.276/$D$63</f>
        <v>8.6090462684555221E-3</v>
      </c>
      <c r="D51" s="508">
        <f>Orçamento!H156</f>
        <v>4734.5752999999986</v>
      </c>
      <c r="E51" s="259"/>
      <c r="F51" s="260"/>
      <c r="G51" s="259"/>
      <c r="H51" s="260"/>
      <c r="I51" s="259"/>
      <c r="J51" s="260"/>
      <c r="K51" s="259"/>
      <c r="L51" s="260"/>
      <c r="M51" s="259"/>
      <c r="N51" s="260"/>
      <c r="O51" s="259"/>
      <c r="P51" s="260"/>
      <c r="Q51" s="259"/>
      <c r="R51" s="260"/>
      <c r="S51" s="420"/>
      <c r="T51" s="437"/>
      <c r="U51" s="376"/>
      <c r="V51" s="378"/>
      <c r="W51" s="378"/>
      <c r="X51" s="378"/>
      <c r="Y51" s="378"/>
      <c r="Z51" s="378"/>
      <c r="AA51" s="376"/>
      <c r="AB51" s="379"/>
      <c r="AD51" s="354"/>
    </row>
    <row r="52" spans="1:30" ht="20.100000000000001" customHeight="1" x14ac:dyDescent="0.25">
      <c r="A52" s="505"/>
      <c r="B52" s="506"/>
      <c r="C52" s="507"/>
      <c r="D52" s="508"/>
      <c r="E52" s="266"/>
      <c r="F52" s="265">
        <f>$D51*E52</f>
        <v>0</v>
      </c>
      <c r="G52" s="266"/>
      <c r="H52" s="265">
        <f>$D51*G52</f>
        <v>0</v>
      </c>
      <c r="I52" s="266"/>
      <c r="J52" s="265">
        <f>$D51*I52</f>
        <v>0</v>
      </c>
      <c r="K52" s="266"/>
      <c r="L52" s="265">
        <f>$D51*K52</f>
        <v>0</v>
      </c>
      <c r="M52" s="266"/>
      <c r="N52" s="265">
        <f>$D51*M52</f>
        <v>0</v>
      </c>
      <c r="O52" s="266"/>
      <c r="P52" s="265">
        <f>$D51*O52</f>
        <v>0</v>
      </c>
      <c r="Q52" s="266"/>
      <c r="R52" s="265">
        <f>$D51*Q52</f>
        <v>0</v>
      </c>
      <c r="S52" s="266">
        <v>1</v>
      </c>
      <c r="T52" s="431">
        <f>$D51*S52</f>
        <v>4734.5752999999986</v>
      </c>
      <c r="U52" s="424"/>
      <c r="V52" s="381">
        <f>$D51*U52</f>
        <v>0</v>
      </c>
      <c r="W52" s="380"/>
      <c r="X52" s="381">
        <f>$D51*W52</f>
        <v>0</v>
      </c>
      <c r="Y52" s="380"/>
      <c r="Z52" s="381">
        <f>$D51*Y52</f>
        <v>0</v>
      </c>
      <c r="AA52" s="380"/>
      <c r="AB52" s="382">
        <f>$D51*AA52</f>
        <v>0</v>
      </c>
      <c r="AD52" s="355">
        <f>SUM(AA52,Y52,W52,U52,S52,Q52,O52,M52,K52,I52,G52,E52)</f>
        <v>1</v>
      </c>
    </row>
    <row r="53" spans="1:30" ht="9.9499999999999993" customHeight="1" x14ac:dyDescent="0.25">
      <c r="A53" s="343"/>
      <c r="B53" s="344"/>
      <c r="C53" s="345"/>
      <c r="D53" s="346"/>
      <c r="E53" s="347"/>
      <c r="F53" s="348"/>
      <c r="G53" s="349"/>
      <c r="H53" s="350"/>
      <c r="I53" s="349"/>
      <c r="J53" s="350"/>
      <c r="K53" s="349"/>
      <c r="L53" s="350"/>
      <c r="M53" s="349"/>
      <c r="N53" s="350"/>
      <c r="O53" s="349"/>
      <c r="P53" s="350"/>
      <c r="Q53" s="349"/>
      <c r="R53" s="350"/>
      <c r="S53" s="349"/>
      <c r="T53" s="441"/>
      <c r="U53" s="388"/>
      <c r="V53" s="389"/>
      <c r="W53" s="388"/>
      <c r="X53" s="389"/>
      <c r="Y53" s="388"/>
      <c r="Z53" s="389"/>
      <c r="AA53" s="388"/>
      <c r="AB53" s="390"/>
      <c r="AD53" s="277"/>
    </row>
    <row r="54" spans="1:30" ht="9.9499999999999993" customHeight="1" x14ac:dyDescent="0.25">
      <c r="A54" s="505" t="s">
        <v>487</v>
      </c>
      <c r="B54" s="506" t="s">
        <v>581</v>
      </c>
      <c r="C54" s="507">
        <f>D54*1.276/$D$63</f>
        <v>0.11965171163665445</v>
      </c>
      <c r="D54" s="509">
        <f>Orçamento!H161</f>
        <v>65802.880000000005</v>
      </c>
      <c r="E54" s="332"/>
      <c r="F54" s="333"/>
      <c r="G54" s="334"/>
      <c r="H54" s="334"/>
      <c r="I54" s="332"/>
      <c r="J54" s="333"/>
      <c r="K54" s="334"/>
      <c r="L54" s="334"/>
      <c r="M54" s="332"/>
      <c r="N54" s="333"/>
      <c r="O54" s="334"/>
      <c r="P54" s="334"/>
      <c r="Q54" s="332"/>
      <c r="R54" s="333"/>
      <c r="S54" s="332"/>
      <c r="T54" s="442"/>
      <c r="U54" s="376"/>
      <c r="V54" s="378"/>
      <c r="W54" s="378"/>
      <c r="X54" s="378"/>
      <c r="Y54" s="378"/>
      <c r="Z54" s="378"/>
      <c r="AA54" s="376"/>
      <c r="AB54" s="379"/>
      <c r="AD54" s="263"/>
    </row>
    <row r="55" spans="1:30" ht="20.100000000000001" customHeight="1" x14ac:dyDescent="0.25">
      <c r="A55" s="505"/>
      <c r="B55" s="506"/>
      <c r="C55" s="507"/>
      <c r="D55" s="509"/>
      <c r="E55" s="266">
        <f>1/8</f>
        <v>0.125</v>
      </c>
      <c r="F55" s="265">
        <f>$D54*E55</f>
        <v>8225.36</v>
      </c>
      <c r="G55" s="266">
        <f>1/8</f>
        <v>0.125</v>
      </c>
      <c r="H55" s="265">
        <f>$D54*G55</f>
        <v>8225.36</v>
      </c>
      <c r="I55" s="266">
        <f>1/8</f>
        <v>0.125</v>
      </c>
      <c r="J55" s="265">
        <f>$D54*I55</f>
        <v>8225.36</v>
      </c>
      <c r="K55" s="266">
        <f>1/8</f>
        <v>0.125</v>
      </c>
      <c r="L55" s="265">
        <f>$D54*K55</f>
        <v>8225.36</v>
      </c>
      <c r="M55" s="266">
        <f>1/8</f>
        <v>0.125</v>
      </c>
      <c r="N55" s="265">
        <f>$D54*M55</f>
        <v>8225.36</v>
      </c>
      <c r="O55" s="266">
        <f>1/8</f>
        <v>0.125</v>
      </c>
      <c r="P55" s="265">
        <f>$D54*O55</f>
        <v>8225.36</v>
      </c>
      <c r="Q55" s="266">
        <f>1/8</f>
        <v>0.125</v>
      </c>
      <c r="R55" s="265">
        <f>$D54*Q55</f>
        <v>8225.36</v>
      </c>
      <c r="S55" s="266">
        <f>1/8</f>
        <v>0.125</v>
      </c>
      <c r="T55" s="431">
        <f>$D54*S55</f>
        <v>8225.36</v>
      </c>
      <c r="U55" s="424"/>
      <c r="V55" s="381">
        <f>$D54*U55</f>
        <v>0</v>
      </c>
      <c r="W55" s="380"/>
      <c r="X55" s="381">
        <f>$D54*W55</f>
        <v>0</v>
      </c>
      <c r="Y55" s="380"/>
      <c r="Z55" s="381">
        <f>$D54*Y55</f>
        <v>0</v>
      </c>
      <c r="AA55" s="380"/>
      <c r="AB55" s="382">
        <f>$D54*AA55</f>
        <v>0</v>
      </c>
      <c r="AD55" s="268">
        <f>SUM(AA55,Y55,W55,U55,S55,Q55,O55,M55,K55,I55,G55,E55)</f>
        <v>1</v>
      </c>
    </row>
    <row r="56" spans="1:30" ht="9.9499999999999993" customHeight="1" thickBot="1" x14ac:dyDescent="0.3">
      <c r="A56" s="291"/>
      <c r="B56" s="292"/>
      <c r="C56" s="293"/>
      <c r="D56" s="294"/>
      <c r="E56" s="295"/>
      <c r="F56" s="296"/>
      <c r="G56" s="297"/>
      <c r="H56" s="298"/>
      <c r="I56" s="297"/>
      <c r="J56" s="298"/>
      <c r="K56" s="297"/>
      <c r="L56" s="298"/>
      <c r="M56" s="297"/>
      <c r="N56" s="298"/>
      <c r="O56" s="297"/>
      <c r="P56" s="298"/>
      <c r="Q56" s="299"/>
      <c r="R56" s="298"/>
      <c r="S56" s="299"/>
      <c r="T56" s="443"/>
      <c r="U56" s="391"/>
      <c r="V56" s="392"/>
      <c r="W56" s="391"/>
      <c r="X56" s="392"/>
      <c r="Y56" s="391"/>
      <c r="Z56" s="392"/>
      <c r="AA56" s="391"/>
      <c r="AB56" s="393"/>
      <c r="AD56" s="277"/>
    </row>
    <row r="57" spans="1:30" ht="20.100000000000001" customHeight="1" x14ac:dyDescent="0.25">
      <c r="A57" s="300"/>
      <c r="B57" s="301"/>
      <c r="C57" s="302"/>
      <c r="D57" s="303"/>
      <c r="E57" s="304"/>
      <c r="F57" s="305"/>
      <c r="G57" s="302"/>
      <c r="H57" s="306"/>
      <c r="I57" s="302"/>
      <c r="J57" s="306"/>
      <c r="K57" s="302"/>
      <c r="L57" s="306"/>
      <c r="M57" s="302"/>
      <c r="N57" s="306"/>
      <c r="O57" s="302"/>
      <c r="P57" s="306"/>
      <c r="Q57" s="302"/>
      <c r="R57" s="306"/>
      <c r="S57" s="302"/>
      <c r="T57" s="444"/>
      <c r="U57" s="394"/>
      <c r="V57" s="395"/>
      <c r="W57" s="394"/>
      <c r="X57" s="395"/>
      <c r="Y57" s="394"/>
      <c r="Z57" s="395"/>
      <c r="AA57" s="394"/>
      <c r="AB57" s="396"/>
      <c r="AD57" s="307"/>
    </row>
    <row r="58" spans="1:30" ht="20.100000000000001" customHeight="1" x14ac:dyDescent="0.25">
      <c r="A58" s="503" t="s">
        <v>488</v>
      </c>
      <c r="B58" s="504"/>
      <c r="C58" s="504"/>
      <c r="D58" s="308">
        <f>SUM(D8:D55)</f>
        <v>552551.72570200008</v>
      </c>
      <c r="E58" s="309"/>
      <c r="F58" s="310">
        <f>SUM(F8:F55)</f>
        <v>57187.407799499997</v>
      </c>
      <c r="G58" s="311"/>
      <c r="H58" s="312">
        <f>SUM(H8:H56)</f>
        <v>58320.722347499999</v>
      </c>
      <c r="I58" s="311"/>
      <c r="J58" s="312">
        <f>SUM(J8:J56)</f>
        <v>67270.96715916667</v>
      </c>
      <c r="K58" s="311"/>
      <c r="L58" s="312">
        <f>SUM(L8:L56)</f>
        <v>76936.192654166662</v>
      </c>
      <c r="M58" s="311"/>
      <c r="N58" s="312">
        <f>SUM(N8:N56)</f>
        <v>87638.497786266656</v>
      </c>
      <c r="O58" s="311"/>
      <c r="P58" s="312">
        <f>SUM(P8:P56)</f>
        <v>81823.029446600005</v>
      </c>
      <c r="Q58" s="311"/>
      <c r="R58" s="312">
        <f>SUM(R8:R56)</f>
        <v>65897.765463000003</v>
      </c>
      <c r="S58" s="311"/>
      <c r="T58" s="445">
        <f>SUM(T8:T56)</f>
        <v>57477.143045799996</v>
      </c>
      <c r="U58" s="427"/>
      <c r="V58" s="398">
        <f>SUM(V8:V56)</f>
        <v>0</v>
      </c>
      <c r="W58" s="397"/>
      <c r="X58" s="398">
        <f>SUM(X8:X56)</f>
        <v>0</v>
      </c>
      <c r="Y58" s="397"/>
      <c r="Z58" s="398">
        <f>SUM(Z8:Z56)</f>
        <v>0</v>
      </c>
      <c r="AA58" s="397"/>
      <c r="AB58" s="399">
        <f>SUM(AB10:AB56)</f>
        <v>0</v>
      </c>
      <c r="AD58" s="313"/>
    </row>
    <row r="59" spans="1:30" ht="20.100000000000001" customHeight="1" x14ac:dyDescent="0.25">
      <c r="A59" s="497" t="s">
        <v>582</v>
      </c>
      <c r="B59" s="498"/>
      <c r="C59" s="499"/>
      <c r="D59" s="308">
        <f>D58*0.27</f>
        <v>149188.96593954004</v>
      </c>
      <c r="E59" s="314"/>
      <c r="F59" s="310">
        <f>F58*0.27</f>
        <v>15440.600105865</v>
      </c>
      <c r="G59" s="315"/>
      <c r="H59" s="316">
        <f>H58*0.27</f>
        <v>15746.595033825</v>
      </c>
      <c r="I59" s="314"/>
      <c r="J59" s="316">
        <f>J58*0.27</f>
        <v>18163.161132975001</v>
      </c>
      <c r="K59" s="315"/>
      <c r="L59" s="316">
        <f>L58*0.27</f>
        <v>20772.772016625</v>
      </c>
      <c r="M59" s="314"/>
      <c r="N59" s="316">
        <f>N58*0.27</f>
        <v>23662.394402292</v>
      </c>
      <c r="O59" s="315"/>
      <c r="P59" s="316">
        <f>P58*0.27</f>
        <v>22092.217950582002</v>
      </c>
      <c r="Q59" s="314"/>
      <c r="R59" s="316">
        <f>R58*0.27</f>
        <v>17792.396675010001</v>
      </c>
      <c r="S59" s="315"/>
      <c r="T59" s="446">
        <f>T58*0.27</f>
        <v>15518.828622366</v>
      </c>
      <c r="U59" s="402"/>
      <c r="V59" s="401">
        <f>V58*0.276</f>
        <v>0</v>
      </c>
      <c r="W59" s="400"/>
      <c r="X59" s="401">
        <f>X58*0.276</f>
        <v>0</v>
      </c>
      <c r="Y59" s="400"/>
      <c r="Z59" s="401">
        <f>Z58*0.276</f>
        <v>0</v>
      </c>
      <c r="AA59" s="402"/>
      <c r="AB59" s="403">
        <f>0.276*AB58</f>
        <v>0</v>
      </c>
      <c r="AD59" s="317"/>
    </row>
    <row r="60" spans="1:30" ht="9.9499999999999993" customHeight="1" x14ac:dyDescent="0.25">
      <c r="A60" s="247"/>
      <c r="B60" s="284"/>
      <c r="C60" s="285"/>
      <c r="D60" s="286"/>
      <c r="E60" s="287"/>
      <c r="F60" s="288"/>
      <c r="G60" s="289"/>
      <c r="H60" s="290"/>
      <c r="I60" s="289"/>
      <c r="J60" s="290"/>
      <c r="K60" s="289"/>
      <c r="L60" s="290"/>
      <c r="M60" s="289"/>
      <c r="N60" s="290"/>
      <c r="O60" s="289"/>
      <c r="P60" s="290"/>
      <c r="Q60" s="289"/>
      <c r="R60" s="290"/>
      <c r="S60" s="318"/>
      <c r="T60" s="447"/>
      <c r="U60" s="388"/>
      <c r="V60" s="389"/>
      <c r="W60" s="388"/>
      <c r="X60" s="389"/>
      <c r="Y60" s="388"/>
      <c r="Z60" s="389"/>
      <c r="AA60" s="388"/>
      <c r="AB60" s="390"/>
      <c r="AD60" s="277"/>
    </row>
    <row r="61" spans="1:30" ht="16.5" customHeight="1" x14ac:dyDescent="0.25">
      <c r="A61" s="319"/>
      <c r="B61" s="320"/>
      <c r="C61" s="321"/>
      <c r="D61" s="322"/>
      <c r="E61" s="278"/>
      <c r="F61" s="265"/>
      <c r="G61" s="279"/>
      <c r="H61" s="265"/>
      <c r="I61" s="279"/>
      <c r="J61" s="265"/>
      <c r="K61" s="279"/>
      <c r="L61" s="265"/>
      <c r="M61" s="279"/>
      <c r="N61" s="265"/>
      <c r="O61" s="279"/>
      <c r="P61" s="265"/>
      <c r="Q61" s="279"/>
      <c r="R61" s="265"/>
      <c r="S61" s="279"/>
      <c r="T61" s="431"/>
      <c r="U61" s="426"/>
      <c r="V61" s="381"/>
      <c r="W61" s="386"/>
      <c r="X61" s="381"/>
      <c r="Y61" s="386"/>
      <c r="Z61" s="404"/>
      <c r="AA61" s="386"/>
      <c r="AB61" s="405"/>
      <c r="AD61" s="267"/>
    </row>
    <row r="62" spans="1:30" ht="20.100000000000001" customHeight="1" thickBot="1" x14ac:dyDescent="0.3">
      <c r="A62" s="497" t="s">
        <v>457</v>
      </c>
      <c r="B62" s="498"/>
      <c r="C62" s="499"/>
      <c r="D62" s="308"/>
      <c r="E62" s="323">
        <f>F62/$D$63</f>
        <v>0.1034969309467727</v>
      </c>
      <c r="F62" s="316">
        <f>SUM(F58:F59)</f>
        <v>72628.007905364997</v>
      </c>
      <c r="G62" s="323">
        <f>H62/$D$63</f>
        <v>0.10554798697516564</v>
      </c>
      <c r="H62" s="316">
        <f>SUM(H58:H59)</f>
        <v>74067.317381325003</v>
      </c>
      <c r="I62" s="323">
        <f>J62/$D$63</f>
        <v>0.12174600861792796</v>
      </c>
      <c r="J62" s="316">
        <f>SUM(J58:J59)</f>
        <v>85434.128292141671</v>
      </c>
      <c r="K62" s="323">
        <f>L62/$D$63</f>
        <v>0.13923799180324989</v>
      </c>
      <c r="L62" s="316">
        <f>SUM(L58:L59)</f>
        <v>97708.964670791669</v>
      </c>
      <c r="M62" s="323">
        <f>N62/$D$63</f>
        <v>0.15860686648824529</v>
      </c>
      <c r="N62" s="316">
        <f>SUM(N58:N59)</f>
        <v>111300.89218855866</v>
      </c>
      <c r="O62" s="323">
        <f>P62/$D$63</f>
        <v>0.14808211727625381</v>
      </c>
      <c r="P62" s="316">
        <f>SUM(P58:P59)</f>
        <v>103915.24739718201</v>
      </c>
      <c r="Q62" s="323">
        <f>R62/$D$63</f>
        <v>0.11926080835107138</v>
      </c>
      <c r="R62" s="316">
        <f>SUM(R58:R59)</f>
        <v>83690.162138009997</v>
      </c>
      <c r="S62" s="323">
        <f>T62/$D$63</f>
        <v>0.10402128954131315</v>
      </c>
      <c r="T62" s="446">
        <f>SUM(T58:T59)</f>
        <v>72995.971668165992</v>
      </c>
      <c r="U62" s="406">
        <f>V62/$D$63</f>
        <v>0</v>
      </c>
      <c r="V62" s="401">
        <f>SUM(V58:V59)</f>
        <v>0</v>
      </c>
      <c r="W62" s="406">
        <f>X62/$D$63</f>
        <v>0</v>
      </c>
      <c r="X62" s="401">
        <f>SUM(X58:X59)</f>
        <v>0</v>
      </c>
      <c r="Y62" s="406">
        <f>Z62/$D$63</f>
        <v>0</v>
      </c>
      <c r="Z62" s="401">
        <f>SUM(Z58:Z59)</f>
        <v>0</v>
      </c>
      <c r="AA62" s="406">
        <f>AB62/$D$63</f>
        <v>0</v>
      </c>
      <c r="AB62" s="401">
        <f>SUM(AB58:AB59)</f>
        <v>0</v>
      </c>
      <c r="AD62" s="268">
        <f>SUM(AA62,Y62,W62,U62,S62,Q62,O62,M62,K62,I62,G62,E62)</f>
        <v>0.99999999999999989</v>
      </c>
    </row>
    <row r="63" spans="1:30" ht="20.100000000000001" customHeight="1" thickBot="1" x14ac:dyDescent="0.3">
      <c r="A63" s="500" t="s">
        <v>489</v>
      </c>
      <c r="B63" s="501"/>
      <c r="C63" s="501"/>
      <c r="D63" s="324">
        <f>D58+D59</f>
        <v>701740.69164154015</v>
      </c>
      <c r="E63" s="323">
        <f>F63/$D$63</f>
        <v>0.1034969309467727</v>
      </c>
      <c r="F63" s="325">
        <f>F62</f>
        <v>72628.007905364997</v>
      </c>
      <c r="G63" s="323">
        <f>H63/$D$63</f>
        <v>0.20904491792193833</v>
      </c>
      <c r="H63" s="325">
        <f>H62+F63</f>
        <v>146695.32528669</v>
      </c>
      <c r="I63" s="323">
        <f>J63/$D$63</f>
        <v>0.3307909265398663</v>
      </c>
      <c r="J63" s="325">
        <f>J62+H63</f>
        <v>232129.45357883169</v>
      </c>
      <c r="K63" s="323">
        <f>L63/$D$63</f>
        <v>0.47002891834311622</v>
      </c>
      <c r="L63" s="325">
        <f>L62+J63</f>
        <v>329838.41824962338</v>
      </c>
      <c r="M63" s="323">
        <f>N63/$D$63</f>
        <v>0.62863578483136151</v>
      </c>
      <c r="N63" s="325">
        <f>N62+L63</f>
        <v>441139.31043818203</v>
      </c>
      <c r="O63" s="323">
        <f>P63/$D$63</f>
        <v>0.77671790210761527</v>
      </c>
      <c r="P63" s="325">
        <f>P62+N63</f>
        <v>545054.55783536402</v>
      </c>
      <c r="Q63" s="323">
        <f>R63/$D$63</f>
        <v>0.89597871045868671</v>
      </c>
      <c r="R63" s="325">
        <f>R62+P63</f>
        <v>628744.71997337404</v>
      </c>
      <c r="S63" s="323">
        <f>T63/$D$63</f>
        <v>0.99999999999999989</v>
      </c>
      <c r="T63" s="324">
        <f>T62+R63</f>
        <v>701740.69164154003</v>
      </c>
      <c r="U63" s="406">
        <f>V63/$D$63</f>
        <v>0.99999999999999989</v>
      </c>
      <c r="V63" s="407">
        <f>V62+T63</f>
        <v>701740.69164154003</v>
      </c>
      <c r="W63" s="406">
        <f>X63/$D$63</f>
        <v>0.99999999999999989</v>
      </c>
      <c r="X63" s="407">
        <f>X62+V63</f>
        <v>701740.69164154003</v>
      </c>
      <c r="Y63" s="406">
        <f>Z63/$D$63</f>
        <v>0.99999999999999989</v>
      </c>
      <c r="Z63" s="407">
        <f>Z62+X63</f>
        <v>701740.69164154003</v>
      </c>
      <c r="AA63" s="406">
        <f>AB63/$D$63</f>
        <v>0.99999999999999989</v>
      </c>
      <c r="AB63" s="407">
        <f>AB62+Z63</f>
        <v>701740.69164154003</v>
      </c>
      <c r="AD63" s="326"/>
    </row>
    <row r="67" spans="2:16" ht="15.75" thickBot="1" x14ac:dyDescent="0.3">
      <c r="K67" s="331"/>
    </row>
    <row r="68" spans="2:16" ht="15.75" thickBot="1" x14ac:dyDescent="0.3">
      <c r="B68" s="502"/>
      <c r="C68" s="408">
        <f>SUM(C9:C55)</f>
        <v>1.0047244094488186</v>
      </c>
      <c r="D68" s="418" t="s">
        <v>611</v>
      </c>
      <c r="E68" s="267" t="s">
        <v>613</v>
      </c>
      <c r="M68" s="267" t="s">
        <v>612</v>
      </c>
      <c r="P68" s="172" t="s">
        <v>617</v>
      </c>
    </row>
    <row r="69" spans="2:16" x14ac:dyDescent="0.25">
      <c r="B69" s="502"/>
      <c r="D69" s="267" t="s">
        <v>583</v>
      </c>
      <c r="E69" s="267">
        <f>E62</f>
        <v>0.1034969309467727</v>
      </c>
      <c r="L69" s="267" t="s">
        <v>583</v>
      </c>
      <c r="M69" s="267">
        <f>E63</f>
        <v>0.1034969309467727</v>
      </c>
      <c r="P69" s="174" t="s">
        <v>619</v>
      </c>
    </row>
    <row r="70" spans="2:16" x14ac:dyDescent="0.25">
      <c r="D70" s="267" t="s">
        <v>584</v>
      </c>
      <c r="E70" s="267">
        <f>G62</f>
        <v>0.10554798697516564</v>
      </c>
      <c r="L70" s="267" t="s">
        <v>584</v>
      </c>
      <c r="M70" s="267">
        <f>G63</f>
        <v>0.20904491792193833</v>
      </c>
      <c r="P70" s="174" t="s">
        <v>618</v>
      </c>
    </row>
    <row r="71" spans="2:16" x14ac:dyDescent="0.25">
      <c r="D71" s="267" t="s">
        <v>585</v>
      </c>
      <c r="E71" s="267">
        <f>I62</f>
        <v>0.12174600861792796</v>
      </c>
      <c r="L71" s="267" t="s">
        <v>585</v>
      </c>
      <c r="M71" s="267">
        <f>I63</f>
        <v>0.3307909265398663</v>
      </c>
      <c r="P71" s="163"/>
    </row>
    <row r="72" spans="2:16" x14ac:dyDescent="0.2">
      <c r="D72" s="267" t="s">
        <v>586</v>
      </c>
      <c r="E72" s="267">
        <f>K62</f>
        <v>0.13923799180324989</v>
      </c>
      <c r="L72" s="267" t="s">
        <v>586</v>
      </c>
      <c r="M72" s="267">
        <f>K63</f>
        <v>0.47002891834311622</v>
      </c>
      <c r="P72" s="176" t="s">
        <v>335</v>
      </c>
    </row>
    <row r="73" spans="2:16" x14ac:dyDescent="0.25">
      <c r="D73" s="267" t="s">
        <v>587</v>
      </c>
      <c r="E73" s="267">
        <f>M62</f>
        <v>0.15860686648824529</v>
      </c>
      <c r="L73" s="267" t="s">
        <v>587</v>
      </c>
      <c r="M73" s="267">
        <f>M63</f>
        <v>0.62863578483136151</v>
      </c>
    </row>
    <row r="74" spans="2:16" x14ac:dyDescent="0.25">
      <c r="D74" s="267" t="s">
        <v>588</v>
      </c>
      <c r="E74" s="267">
        <f>O62</f>
        <v>0.14808211727625381</v>
      </c>
      <c r="L74" s="267" t="s">
        <v>588</v>
      </c>
      <c r="M74" s="267">
        <f>O63</f>
        <v>0.77671790210761527</v>
      </c>
    </row>
    <row r="75" spans="2:16" x14ac:dyDescent="0.25">
      <c r="D75" s="267" t="s">
        <v>589</v>
      </c>
      <c r="E75" s="267">
        <f>Q62</f>
        <v>0.11926080835107138</v>
      </c>
      <c r="L75" s="267" t="s">
        <v>589</v>
      </c>
      <c r="M75" s="267">
        <f>Q63</f>
        <v>0.89597871045868671</v>
      </c>
    </row>
    <row r="76" spans="2:16" x14ac:dyDescent="0.25">
      <c r="D76" s="267" t="s">
        <v>590</v>
      </c>
      <c r="E76" s="267">
        <f>S62</f>
        <v>0.10402128954131315</v>
      </c>
      <c r="L76" s="267" t="s">
        <v>590</v>
      </c>
      <c r="M76" s="267">
        <f>S63</f>
        <v>0.99999999999999989</v>
      </c>
    </row>
  </sheetData>
  <mergeCells count="83">
    <mergeCell ref="A12:A13"/>
    <mergeCell ref="B12:B13"/>
    <mergeCell ref="C12:C13"/>
    <mergeCell ref="D12:D13"/>
    <mergeCell ref="O6:P6"/>
    <mergeCell ref="A6:D6"/>
    <mergeCell ref="E6:F6"/>
    <mergeCell ref="G6:H6"/>
    <mergeCell ref="I6:J6"/>
    <mergeCell ref="K6:L6"/>
    <mergeCell ref="M6:N6"/>
    <mergeCell ref="AA6:AB6"/>
    <mergeCell ref="A9:A10"/>
    <mergeCell ref="B9:B10"/>
    <mergeCell ref="C9:C10"/>
    <mergeCell ref="D9:D10"/>
    <mergeCell ref="Q6:R6"/>
    <mergeCell ref="S6:T6"/>
    <mergeCell ref="U6:V6"/>
    <mergeCell ref="W6:X6"/>
    <mergeCell ref="Y6:Z6"/>
    <mergeCell ref="A15:A16"/>
    <mergeCell ref="B15:B16"/>
    <mergeCell ref="C15:C16"/>
    <mergeCell ref="D15:D16"/>
    <mergeCell ref="A18:A19"/>
    <mergeCell ref="B18:B19"/>
    <mergeCell ref="C18:C19"/>
    <mergeCell ref="D18:D19"/>
    <mergeCell ref="A27:A28"/>
    <mergeCell ref="B27:B28"/>
    <mergeCell ref="C27:C28"/>
    <mergeCell ref="D27:D28"/>
    <mergeCell ref="A21:A22"/>
    <mergeCell ref="B21:B22"/>
    <mergeCell ref="C21:C22"/>
    <mergeCell ref="D21:D22"/>
    <mergeCell ref="A24:A25"/>
    <mergeCell ref="B24:B25"/>
    <mergeCell ref="C24:C25"/>
    <mergeCell ref="D24:D25"/>
    <mergeCell ref="A30:A31"/>
    <mergeCell ref="B30:B31"/>
    <mergeCell ref="C30:C31"/>
    <mergeCell ref="D30:D31"/>
    <mergeCell ref="A33:A34"/>
    <mergeCell ref="B33:B34"/>
    <mergeCell ref="C33:C34"/>
    <mergeCell ref="D33:D34"/>
    <mergeCell ref="A36:A37"/>
    <mergeCell ref="B36:B37"/>
    <mergeCell ref="C36:C37"/>
    <mergeCell ref="D36:D37"/>
    <mergeCell ref="A42:A43"/>
    <mergeCell ref="B42:B43"/>
    <mergeCell ref="C42:C43"/>
    <mergeCell ref="D42:D43"/>
    <mergeCell ref="A39:A40"/>
    <mergeCell ref="B39:B40"/>
    <mergeCell ref="C39:C40"/>
    <mergeCell ref="D39:D40"/>
    <mergeCell ref="C45:C46"/>
    <mergeCell ref="D45:D46"/>
    <mergeCell ref="A48:A49"/>
    <mergeCell ref="B48:B49"/>
    <mergeCell ref="C48:C49"/>
    <mergeCell ref="D48:D49"/>
    <mergeCell ref="A5:D5"/>
    <mergeCell ref="A62:C62"/>
    <mergeCell ref="A63:C63"/>
    <mergeCell ref="B68:B69"/>
    <mergeCell ref="A58:C58"/>
    <mergeCell ref="A59:C59"/>
    <mergeCell ref="A51:A52"/>
    <mergeCell ref="B51:B52"/>
    <mergeCell ref="C51:C52"/>
    <mergeCell ref="D51:D52"/>
    <mergeCell ref="A54:A55"/>
    <mergeCell ref="B54:B55"/>
    <mergeCell ref="C54:C55"/>
    <mergeCell ref="D54:D55"/>
    <mergeCell ref="A45:A46"/>
    <mergeCell ref="B45:B46"/>
  </mergeCells>
  <conditionalFormatting sqref="E54:R54 AD9 AD12 AD15 AD18 AD21 AD24 AD27 AD30 AD33 AD36 AD42 AD45 AD48 AD51 AD54 I12:R12 E9:R9 E18:R18 E21:R21 W51:AB51 E33:R33 E42:R42 E48:R48 E30:R30 E36:R36 E15:R15 W15:AB15 W36:AB36 W27:AB27 W30:AB30 W48:AB48 W24:AB24 W42:AB42 W33:AB33 W21:AB21 W18:AB18 W9:AB9 W12:AB12 W54:AB54 W45:AB45 E24:R24 E27:R27 E45:R45 E12:F12">
    <cfRule type="cellIs" dxfId="28" priority="38" operator="equal">
      <formula>1</formula>
    </cfRule>
  </conditionalFormatting>
  <conditionalFormatting sqref="AD10 AD13 AD16 AD19 AD22 AD25 AD28 AD31 AD34 AD37:AD40 AD43 AD46 AD49 AD52 AD55">
    <cfRule type="cellIs" dxfId="27" priority="33" operator="equal">
      <formula>0</formula>
    </cfRule>
    <cfRule type="cellIs" dxfId="26" priority="36" operator="lessThan">
      <formula>1</formula>
    </cfRule>
    <cfRule type="cellIs" dxfId="25" priority="37" operator="greaterThan">
      <formula>1</formula>
    </cfRule>
  </conditionalFormatting>
  <conditionalFormatting sqref="AD13 AD16 AD19 AD22 AD25 AD28 AD31 AD34 AD37:AD40 AD43 AD46 AD49 AD52 AD55">
    <cfRule type="cellIs" dxfId="24" priority="34" operator="lessThan">
      <formula>1</formula>
    </cfRule>
    <cfRule type="cellIs" dxfId="23" priority="35" operator="greaterThan">
      <formula>1</formula>
    </cfRule>
  </conditionalFormatting>
  <conditionalFormatting sqref="AD62">
    <cfRule type="cellIs" dxfId="22" priority="30" operator="equal">
      <formula>0</formula>
    </cfRule>
    <cfRule type="cellIs" dxfId="21" priority="31" operator="lessThan">
      <formula>1</formula>
    </cfRule>
    <cfRule type="cellIs" dxfId="20" priority="32" operator="greaterThan">
      <formula>1</formula>
    </cfRule>
  </conditionalFormatting>
  <conditionalFormatting sqref="AD62">
    <cfRule type="cellIs" dxfId="19" priority="28" operator="lessThan">
      <formula>1</formula>
    </cfRule>
    <cfRule type="cellIs" dxfId="18" priority="29" operator="greaterThan">
      <formula>1</formula>
    </cfRule>
  </conditionalFormatting>
  <conditionalFormatting sqref="T54 T12 T18 T21 T33 T42 T48 T30 T36 T15 T24 T27">
    <cfRule type="cellIs" dxfId="17" priority="12" operator="equal">
      <formula>1</formula>
    </cfRule>
  </conditionalFormatting>
  <conditionalFormatting sqref="E51:F51">
    <cfRule type="cellIs" dxfId="16" priority="27" operator="equal">
      <formula>1</formula>
    </cfRule>
  </conditionalFormatting>
  <conditionalFormatting sqref="G51:H51">
    <cfRule type="cellIs" dxfId="15" priority="26" operator="equal">
      <formula>1</formula>
    </cfRule>
  </conditionalFormatting>
  <conditionalFormatting sqref="I51:J51">
    <cfRule type="cellIs" dxfId="14" priority="25" operator="equal">
      <formula>1</formula>
    </cfRule>
  </conditionalFormatting>
  <conditionalFormatting sqref="K51:L51">
    <cfRule type="cellIs" dxfId="13" priority="24" operator="equal">
      <formula>1</formula>
    </cfRule>
  </conditionalFormatting>
  <conditionalFormatting sqref="M51:N51">
    <cfRule type="cellIs" dxfId="12" priority="23" operator="equal">
      <formula>1</formula>
    </cfRule>
  </conditionalFormatting>
  <conditionalFormatting sqref="O51:P51">
    <cfRule type="cellIs" dxfId="11" priority="22" operator="equal">
      <formula>1</formula>
    </cfRule>
  </conditionalFormatting>
  <conditionalFormatting sqref="Q51:R51">
    <cfRule type="cellIs" dxfId="10" priority="21" operator="equal">
      <formula>1</formula>
    </cfRule>
  </conditionalFormatting>
  <conditionalFormatting sqref="E39:R39">
    <cfRule type="cellIs" dxfId="9" priority="19" operator="equal">
      <formula>1</formula>
    </cfRule>
  </conditionalFormatting>
  <conditionalFormatting sqref="S54 S12 S18 S21 S33 S42 S24 S48 S30 S27 S36 S15">
    <cfRule type="cellIs" dxfId="8" priority="15" operator="equal">
      <formula>1</formula>
    </cfRule>
  </conditionalFormatting>
  <conditionalFormatting sqref="S51">
    <cfRule type="cellIs" dxfId="7" priority="14" operator="equal">
      <formula>1</formula>
    </cfRule>
  </conditionalFormatting>
  <conditionalFormatting sqref="S39">
    <cfRule type="cellIs" dxfId="6" priority="13" operator="equal">
      <formula>1</formula>
    </cfRule>
  </conditionalFormatting>
  <conditionalFormatting sqref="T51">
    <cfRule type="cellIs" dxfId="5" priority="11" operator="equal">
      <formula>1</formula>
    </cfRule>
  </conditionalFormatting>
  <conditionalFormatting sqref="T39">
    <cfRule type="cellIs" dxfId="4" priority="10" operator="equal">
      <formula>1</formula>
    </cfRule>
  </conditionalFormatting>
  <conditionalFormatting sqref="S45:T45">
    <cfRule type="cellIs" dxfId="3" priority="9" operator="equal">
      <formula>1</formula>
    </cfRule>
  </conditionalFormatting>
  <conditionalFormatting sqref="G12:H12">
    <cfRule type="cellIs" dxfId="2" priority="1" operator="equal">
      <formula>1</formula>
    </cfRule>
  </conditionalFormatting>
  <conditionalFormatting sqref="S9:T9">
    <cfRule type="cellIs" dxfId="1" priority="4" operator="equal">
      <formula>1</formula>
    </cfRule>
  </conditionalFormatting>
  <conditionalFormatting sqref="U51:V51 U15:V15 U36:V36 U27:V27 U30:V30 U48:V48 U24:V24 U42:V42 U33:V33 U21:V21 U18:V18 U9:V9 U12:V12 U54:V54 U45:V45">
    <cfRule type="cellIs" dxfId="0" priority="2" operator="equal">
      <formula>1</formula>
    </cfRule>
  </conditionalFormatting>
  <pageMargins left="0.11811023622047245" right="0.11811023622047245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Área 01</vt:lpstr>
      <vt:lpstr>Área 02</vt:lpstr>
      <vt:lpstr>Área 03</vt:lpstr>
      <vt:lpstr>Orçamento</vt:lpstr>
      <vt:lpstr>Composição</vt:lpstr>
      <vt:lpstr>CRONOGRAMA</vt:lpstr>
      <vt:lpstr>CRONOGRAMA!Area_de_impressao</vt:lpstr>
      <vt:lpstr>Orçamento!Area_de_impressao</vt:lpstr>
      <vt:lpstr>Orçamento!Titulos_de_impressao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Daose</dc:creator>
  <cp:lastModifiedBy>Diogo Ferraz</cp:lastModifiedBy>
  <cp:lastPrinted>2014-10-15T19:33:09Z</cp:lastPrinted>
  <dcterms:created xsi:type="dcterms:W3CDTF">2014-09-04T11:41:43Z</dcterms:created>
  <dcterms:modified xsi:type="dcterms:W3CDTF">2014-10-15T19:33:17Z</dcterms:modified>
</cp:coreProperties>
</file>